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<sst xmlns="http://schemas.openxmlformats.org/spreadsheetml/2006/main" count="267" uniqueCount="138">
  <si>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</si>
  <si>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</si>
  <si>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</si>
  <si>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</si>
  <si>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</si>
  <si>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</si>
  <si>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</si>
  <si>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</si>
  <si>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</si>
  <si>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</si>
  <si>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</si>
  <si>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</si>
  <si>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</si>
  <si>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</si>
  <si>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</si>
  <si>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</si>
  <si>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</si>
  <si>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</si>
  <si>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</si>
  <si>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</si>
  <si>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</si>
  <si>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</si>
  <si>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</si>
  <si>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</si>
  <si>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</si>
  <si>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</si>
  <si>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</si>
  <si>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</si>
  <si>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</si>
  <si>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</si>
  <si>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</si>
  <si>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</si>
  <si>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</si>
  <si>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</si>
  <si>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</si>
  <si>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</si>
  <si>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</si>
  <si>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</si>
  <si>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</si>
  <si>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</si>
  <si>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</si>
  <si>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</si>
  <si>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</si>
  <si>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</si>
  <si>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</si>
  <si>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</si>
  <si>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</si>
  <si>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</si>
  <si>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</si>
  <si>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</si>
  <si>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</si>
  <si>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</si>
  <si>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</si>
  <si>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</si>
  <si>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</si>
  <si>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</si>
  <si>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</si>
  <si>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obsługa długu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</si>
  <si>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</si>
  <si>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</si>
  <si>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</si>
  <si>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</si>
  <si>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Umowy, o których mowa w art. 226, ust. 4 pkt 2 ufp (zapewnienie ciagłości dzialania jednostki)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</si>
  <si>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</si>
  <si>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</si>
  <si>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</si>
  <si>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</si>
  <si>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</si>
  <si>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</si>
  <si>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</si>
  <si>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</si>
  <si>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</si>
  <si>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</si>
  <si>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</si>
  <si>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</si>
  <si>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</si>
  <si>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</si>
  <si>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</si>
  <si>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</si>
  <si>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</si>
  <si>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</si>
  <si>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</si>
  <si>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</si>
  <si>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</si>
  <si>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</si>
  <si>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</si>
  <si>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</si>
  <si>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</si>
  <si>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Relacja o ktorej mowa w art. 243  ustawy z dnia 27 sierpnia 2009r o finansach publicznych (Dz. U. Nr 157, poz. 1240) - od roku 2014 nie może być ze znakiem "minus"</t>
  </si>
  <si>
    <t>Sposób sfinansowania długu</t>
  </si>
  <si>
    <t>dług do spłaty w danym roku</t>
  </si>
  <si>
    <t>dług spłacany nowozaciaganym długiem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</si>
  <si>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</si>
  <si>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</si>
  <si>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</si>
  <si>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</si>
  <si>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</si>
  <si>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gwarancje i poręczenia w roku budżetowym</t>
  </si>
  <si>
    <t>Przedsięwzięcia (wieloletnie poręczenia i gwarancje) - jak w załączniku nr 2</t>
  </si>
  <si>
    <t xml:space="preserve">Przedsięwzięcia  (ciągłość działania jednostki) - jak w załączniku nr 2 </t>
  </si>
  <si>
    <t xml:space="preserve">Przedsięwzięcia (projekty, programy, zadania wieloletnie) - jak w załączniku nr 2 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</si>
  <si>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</si>
  <si>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</si>
  <si>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</si>
  <si>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</si>
  <si>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Przedsięwzięcia (programy, projekty, zadania wieloletnie) - jak w załączniku nr 2.</t>
  </si>
  <si>
    <t>dług spłacany z nadwyżki budżetowej, nadwyzki z lat poprzednich, spłacanych pożyczek i wolnych środków (pomniejszonych o pożyczki do udzielenia)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</si>
  <si>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</si>
  <si>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</si>
  <si>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</si>
  <si>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Ł</t>
  </si>
  <si>
    <t>M</t>
  </si>
  <si>
    <t>Gwarancje i poręczenia związane z UE -sam. os. prawne</t>
  </si>
  <si>
    <t>Limit obciążeń budżetu spłatą długu, kosztami jego obsługi oraz poręczeniami i gwarancjami-średnia z trzech lat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</si>
  <si>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</si>
  <si>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</si>
  <si>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</si>
  <si>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</si>
  <si>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* wg sprawozdania za III kwartał.</t>
  </si>
  <si>
    <t>2010-2011</t>
  </si>
  <si>
    <t>2006-2011</t>
  </si>
  <si>
    <t>2009-2014</t>
  </si>
  <si>
    <t>ZPO</t>
  </si>
  <si>
    <t xml:space="preserve"> Budowa kanalizacji sanitarnej wraz z oczyszczalnią ścieków dla sołectw Huciski i Grojec - realizowany z udziałem środków o których mowa w art..5 ust1 pkt 2i 3  wydatki majątkowe </t>
  </si>
  <si>
    <t>Zagospodarowanie terenu przy skrzyżowaniu ulic Woloności - Wojska Polskiego od strony południowo- wschodniej  wydatki majątkowe</t>
  </si>
  <si>
    <t>Przebudowa ul. Poprzecznej w Boronowie  - wydatki majątkowe</t>
  </si>
  <si>
    <t xml:space="preserve">zimowe utrzymanie dróg  wydatki bieżące </t>
  </si>
  <si>
    <t xml:space="preserve">dowożenie uczniów do szkół - wydatki bieżące </t>
  </si>
  <si>
    <t xml:space="preserve">     </t>
  </si>
  <si>
    <t>Opracowanie projektu miejscowego planu zagospodarowania przestrzennego obejmującego obszar miejscowości Boronów oraz sołectw Hucisko, Grojec, Dębowa Góra i Zumpy</t>
  </si>
  <si>
    <t>2011-2012</t>
  </si>
  <si>
    <t>2011- 2012</t>
  </si>
  <si>
    <t>2011-2013</t>
  </si>
  <si>
    <t xml:space="preserve">Program Operacyjny Kapitał Ludzki Najważniejsze są dzieci </t>
  </si>
  <si>
    <t>uchwały nr 97/XV/2011</t>
  </si>
  <si>
    <t>Załacznik Nr 1 do uchwały Nr 97/XV/2011 Rady Gminy w Boronowie z dnia 14 grudnia 2011r.</t>
  </si>
  <si>
    <t>Załącznik nr 2 do Uchwały Nr 97 - część A</t>
  </si>
  <si>
    <t>Wieloletnia Prognoza Finansowa  na lata 2011-2021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</si>
</sst>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6" xfId="0" applyNumberFormat="1" applyFont="1" applyFill="1" applyBorder="1" applyAlignment="1" applyProtection="1">
      <alignment vertical="center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left" vertical="center"/>
      <protection/>
    </xf>
    <xf numFmtId="4" fontId="2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11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 textRotation="180"/>
      <protection/>
    </xf>
    <xf numFmtId="3" fontId="3" fillId="20" borderId="0" xfId="0" applyNumberFormat="1" applyFont="1" applyFill="1" applyBorder="1" applyAlignment="1" applyProtection="1">
      <alignment horizontal="right" vertical="center"/>
      <protection/>
    </xf>
    <xf numFmtId="4" fontId="0" fillId="20" borderId="21" xfId="0" applyNumberForma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center" vertical="center"/>
      <protection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ont="1" applyFill="1" applyBorder="1" applyAlignment="1" applyProtection="1">
      <alignment horizontal="center" vertical="center"/>
      <protection/>
    </xf>
    <xf numFmtId="4" fontId="0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4" xfId="0" applyNumberFormat="1" applyFont="1" applyFill="1" applyBorder="1" applyAlignment="1" applyProtection="1">
      <alignment horizontal="center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1" xfId="0" applyNumberFormat="1" applyFont="1" applyFill="1" applyBorder="1" applyAlignment="1" applyProtection="1">
      <alignment horizontal="right" vertical="center"/>
      <protection/>
    </xf>
    <xf numFmtId="3" fontId="2" fillId="20" borderId="18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4" fontId="0" fillId="20" borderId="18" xfId="0" applyNumberForma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4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20" borderId="22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22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1" xfId="0" applyNumberFormat="1" applyFill="1" applyBorder="1" applyAlignment="1">
      <alignment horizontal="center" vertical="center"/>
    </xf>
    <xf numFmtId="3" fontId="0" fillId="20" borderId="25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center" vertical="center"/>
    </xf>
    <xf numFmtId="3" fontId="0" fillId="24" borderId="24" xfId="0" applyNumberFormat="1" applyFill="1" applyBorder="1" applyAlignment="1">
      <alignment horizontal="center" vertical="center"/>
    </xf>
    <xf numFmtId="3" fontId="0" fillId="24" borderId="32" xfId="0" applyNumberFormat="1" applyFill="1" applyBorder="1" applyAlignment="1">
      <alignment horizontal="center" vertical="center"/>
    </xf>
    <xf numFmtId="3" fontId="0" fillId="24" borderId="26" xfId="0" applyNumberForma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6" xfId="0" applyNumberFormat="1" applyFont="1" applyFill="1" applyBorder="1" applyAlignment="1">
      <alignment horizontal="center" vertical="center"/>
    </xf>
    <xf numFmtId="0" fontId="0" fillId="20" borderId="33" xfId="0" applyFill="1" applyBorder="1" applyAlignment="1">
      <alignment vertical="center" wrapText="1"/>
    </xf>
    <xf numFmtId="3" fontId="0" fillId="24" borderId="34" xfId="0" applyNumberForma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6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3" fontId="4" fillId="20" borderId="35" xfId="0" applyNumberFormat="1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0" fillId="24" borderId="37" xfId="0" applyNumberFormat="1" applyFill="1" applyBorder="1" applyAlignment="1" applyProtection="1">
      <alignment horizontal="right" vertical="center"/>
      <protection locked="0"/>
    </xf>
    <xf numFmtId="3" fontId="0" fillId="24" borderId="25" xfId="0" applyNumberFormat="1" applyFill="1" applyBorder="1" applyAlignment="1" applyProtection="1">
      <alignment horizontal="right"/>
      <protection locked="0"/>
    </xf>
    <xf numFmtId="0" fontId="0" fillId="20" borderId="23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/>
    </xf>
    <xf numFmtId="164" fontId="0" fillId="20" borderId="24" xfId="0" applyNumberFormat="1" applyFont="1" applyFill="1" applyBorder="1" applyAlignment="1" applyProtection="1">
      <alignment horizontal="center" vertical="center"/>
      <protection/>
    </xf>
    <xf numFmtId="164" fontId="0" fillId="20" borderId="18" xfId="0" applyNumberFormat="1" applyFill="1" applyBorder="1" applyAlignment="1" applyProtection="1">
      <alignment horizontal="center" vertical="center"/>
      <protection/>
    </xf>
    <xf numFmtId="164" fontId="0" fillId="20" borderId="10" xfId="0" applyNumberFormat="1" applyFill="1" applyBorder="1" applyAlignment="1" applyProtection="1">
      <alignment horizontal="center" vertical="center"/>
      <protection/>
    </xf>
    <xf numFmtId="164" fontId="2" fillId="20" borderId="24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center" vertical="center"/>
      <protection locked="0"/>
    </xf>
    <xf numFmtId="164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24" xfId="0" applyNumberFormat="1" applyFont="1" applyFill="1" applyBorder="1" applyAlignment="1" applyProtection="1">
      <alignment vertical="center"/>
      <protection locked="0"/>
    </xf>
    <xf numFmtId="10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/>
      <protection locked="0"/>
    </xf>
    <xf numFmtId="3" fontId="2" fillId="20" borderId="18" xfId="0" applyNumberFormat="1" applyFon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4" fontId="0" fillId="24" borderId="10" xfId="0" applyNumberFormat="1" applyFill="1" applyBorder="1" applyAlignment="1" applyProtection="1">
      <alignment horizontal="right" vertical="center"/>
      <protection locked="0"/>
    </xf>
    <xf numFmtId="4" fontId="2" fillId="20" borderId="10" xfId="0" applyNumberFormat="1" applyFont="1" applyFill="1" applyBorder="1" applyAlignment="1" applyProtection="1">
      <alignment horizontal="center" vertical="center"/>
      <protection locked="0"/>
    </xf>
    <xf numFmtId="164" fontId="2" fillId="20" borderId="24" xfId="0" applyNumberFormat="1" applyFont="1" applyFill="1" applyBorder="1" applyAlignment="1" applyProtection="1">
      <alignment horizontal="center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1" xfId="0" applyNumberFormat="1" applyFont="1" applyFill="1" applyBorder="1" applyAlignment="1" applyProtection="1">
      <alignment horizontal="right" vertical="center"/>
      <protection locked="0"/>
    </xf>
    <xf numFmtId="4" fontId="4" fillId="20" borderId="13" xfId="0" applyNumberFormat="1" applyFont="1" applyFill="1" applyBorder="1" applyAlignment="1" applyProtection="1">
      <alignment vertical="center"/>
      <protection/>
    </xf>
    <xf numFmtId="4" fontId="4" fillId="20" borderId="38" xfId="0" applyNumberFormat="1" applyFont="1" applyFill="1" applyBorder="1" applyAlignment="1" applyProtection="1">
      <alignment vertical="center"/>
      <protection/>
    </xf>
    <xf numFmtId="4" fontId="4" fillId="20" borderId="39" xfId="0" applyNumberFormat="1" applyFont="1" applyFill="1" applyBorder="1" applyAlignment="1" applyProtection="1">
      <alignment vertical="center"/>
      <protection/>
    </xf>
    <xf numFmtId="0" fontId="0" fillId="20" borderId="19" xfId="0" applyFill="1" applyBorder="1" applyAlignment="1">
      <alignment horizontal="center" vertical="center"/>
    </xf>
    <xf numFmtId="49" fontId="0" fillId="20" borderId="33" xfId="0" applyNumberFormat="1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right" vertical="center"/>
    </xf>
    <xf numFmtId="3" fontId="0" fillId="24" borderId="24" xfId="0" applyNumberFormat="1" applyFill="1" applyBorder="1" applyAlignment="1" applyProtection="1">
      <alignment horizontal="right" vertical="center"/>
      <protection locked="0"/>
    </xf>
    <xf numFmtId="3" fontId="0" fillId="24" borderId="40" xfId="0" applyNumberFormat="1" applyFill="1" applyBorder="1" applyAlignment="1" applyProtection="1">
      <alignment horizontal="right" vertical="center"/>
      <protection locked="0"/>
    </xf>
    <xf numFmtId="3" fontId="0" fillId="24" borderId="41" xfId="0" applyNumberFormat="1" applyFill="1" applyBorder="1" applyAlignment="1" applyProtection="1">
      <alignment horizontal="right"/>
      <protection locked="0"/>
    </xf>
    <xf numFmtId="4" fontId="2" fillId="20" borderId="22" xfId="0" applyNumberFormat="1" applyFont="1" applyFill="1" applyBorder="1" applyAlignment="1" applyProtection="1">
      <alignment horizontal="center" vertical="center"/>
      <protection/>
    </xf>
    <xf numFmtId="4" fontId="2" fillId="20" borderId="23" xfId="0" applyNumberFormat="1" applyFont="1" applyFill="1" applyBorder="1" applyAlignment="1" applyProtection="1">
      <alignment horizontal="center" vertical="center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0" fillId="20" borderId="18" xfId="0" applyNumberFormat="1" applyFill="1" applyBorder="1" applyAlignment="1" applyProtection="1">
      <alignment horizontal="left" vertical="center" wrapText="1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4" fontId="0" fillId="20" borderId="24" xfId="0" applyNumberFormat="1" applyFont="1" applyFill="1" applyBorder="1" applyAlignment="1" applyProtection="1">
      <alignment horizontal="left" vertical="center" wrapText="1"/>
      <protection/>
    </xf>
    <xf numFmtId="4" fontId="0" fillId="20" borderId="40" xfId="0" applyNumberFormat="1" applyFont="1" applyFill="1" applyBorder="1" applyAlignment="1" applyProtection="1">
      <alignment horizontal="left" vertical="center" wrapText="1"/>
      <protection/>
    </xf>
    <xf numFmtId="4" fontId="0" fillId="20" borderId="42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0" fontId="0" fillId="20" borderId="29" xfId="0" applyFill="1" applyBorder="1" applyAlignment="1" applyProtection="1">
      <alignment horizontal="left" vertical="center" wrapText="1"/>
      <protection/>
    </xf>
    <xf numFmtId="0" fontId="0" fillId="20" borderId="43" xfId="0" applyFill="1" applyBorder="1" applyAlignment="1" applyProtection="1">
      <alignment horizontal="left" vertical="center" wrapText="1"/>
      <protection/>
    </xf>
    <xf numFmtId="4" fontId="2" fillId="20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44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45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4" fontId="0" fillId="20" borderId="32" xfId="0" applyNumberFormat="1" applyFill="1" applyBorder="1" applyAlignment="1" applyProtection="1">
      <alignment horizontal="center" vertical="center" textRotation="90"/>
      <protection/>
    </xf>
    <xf numFmtId="4" fontId="0" fillId="20" borderId="40" xfId="0" applyNumberFormat="1" applyFill="1" applyBorder="1" applyAlignment="1" applyProtection="1">
      <alignment horizontal="center" vertical="center" textRotation="90"/>
      <protection/>
    </xf>
    <xf numFmtId="4" fontId="0" fillId="20" borderId="37" xfId="0" applyNumberFormat="1" applyFill="1" applyBorder="1" applyAlignment="1" applyProtection="1">
      <alignment horizontal="center" vertical="center" textRotation="90"/>
      <protection/>
    </xf>
    <xf numFmtId="0" fontId="2" fillId="20" borderId="46" xfId="0" applyFont="1" applyFill="1" applyBorder="1" applyAlignment="1" applyProtection="1">
      <alignment horizontal="center" vertical="center"/>
      <protection/>
    </xf>
    <xf numFmtId="0" fontId="2" fillId="20" borderId="47" xfId="0" applyFont="1" applyFill="1" applyBorder="1" applyAlignment="1" applyProtection="1">
      <alignment horizontal="center" vertical="center"/>
      <protection/>
    </xf>
    <xf numFmtId="4" fontId="2" fillId="20" borderId="40" xfId="0" applyNumberFormat="1" applyFont="1" applyFill="1" applyBorder="1" applyAlignment="1" applyProtection="1">
      <alignment horizontal="center" vertical="center"/>
      <protection/>
    </xf>
    <xf numFmtId="4" fontId="2" fillId="20" borderId="42" xfId="0" applyNumberFormat="1" applyFont="1" applyFill="1" applyBorder="1" applyAlignment="1" applyProtection="1">
      <alignment horizontal="center" vertical="center"/>
      <protection/>
    </xf>
    <xf numFmtId="4" fontId="0" fillId="20" borderId="24" xfId="0" applyNumberFormat="1" applyFill="1" applyBorder="1" applyAlignment="1" applyProtection="1">
      <alignment horizontal="center" vertical="center" textRotation="90"/>
      <protection/>
    </xf>
    <xf numFmtId="4" fontId="0" fillId="20" borderId="44" xfId="0" applyNumberFormat="1" applyFill="1" applyBorder="1" applyAlignment="1" applyProtection="1">
      <alignment horizontal="center" vertical="center" textRotation="90"/>
      <protection/>
    </xf>
    <xf numFmtId="4" fontId="0" fillId="20" borderId="18" xfId="0" applyNumberFormat="1" applyFill="1" applyBorder="1" applyAlignment="1" applyProtection="1">
      <alignment horizontal="center" vertical="center" textRotation="90"/>
      <protection/>
    </xf>
    <xf numFmtId="4" fontId="2" fillId="20" borderId="24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2" fillId="2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20" borderId="0" xfId="0" applyFont="1" applyFill="1" applyAlignment="1">
      <alignment horizontal="center" wrapText="1"/>
    </xf>
    <xf numFmtId="0" fontId="2" fillId="20" borderId="16" xfId="0" applyFont="1" applyFill="1" applyBorder="1" applyAlignment="1">
      <alignment horizontal="left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" fillId="20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" fillId="20" borderId="5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20" borderId="57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2" fillId="20" borderId="54" xfId="0" applyFont="1" applyFill="1" applyBorder="1" applyAlignment="1">
      <alignment horizontal="center" vertical="center"/>
    </xf>
    <xf numFmtId="0" fontId="2" fillId="20" borderId="59" xfId="0" applyFont="1" applyFill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57" xfId="0" applyFont="1" applyFill="1" applyBorder="1" applyAlignment="1">
      <alignment horizontal="center" vertical="center"/>
    </xf>
    <xf numFmtId="0" fontId="2" fillId="20" borderId="58" xfId="0" applyFont="1" applyFill="1" applyBorder="1" applyAlignment="1">
      <alignment horizontal="center" vertical="center"/>
    </xf>
    <xf numFmtId="0" fontId="2" fillId="20" borderId="54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5" xfId="0" applyFont="1" applyFill="1" applyBorder="1" applyAlignment="1">
      <alignment horizontal="center" vertical="center" wrapText="1"/>
    </xf>
    <xf numFmtId="0" fontId="0" fillId="24" borderId="45" xfId="0" applyFill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2" fillId="20" borderId="55" xfId="0" applyFont="1" applyFill="1" applyBorder="1" applyAlignment="1">
      <alignment horizontal="center" vertical="center" wrapText="1"/>
    </xf>
    <xf numFmtId="0" fontId="2" fillId="20" borderId="56" xfId="0" applyFont="1" applyFill="1" applyBorder="1" applyAlignment="1">
      <alignment horizontal="center" vertical="center" wrapText="1"/>
    </xf>
    <xf numFmtId="49" fontId="2" fillId="20" borderId="31" xfId="0" applyNumberFormat="1" applyFont="1" applyFill="1" applyBorder="1" applyAlignment="1">
      <alignment horizontal="left" vertical="center" wrapText="1"/>
    </xf>
    <xf numFmtId="49" fontId="2" fillId="20" borderId="55" xfId="0" applyNumberFormat="1" applyFont="1" applyFill="1" applyBorder="1" applyAlignment="1">
      <alignment horizontal="left" vertical="center" wrapText="1"/>
    </xf>
    <xf numFmtId="49" fontId="2" fillId="20" borderId="5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20"/>
      <c r="B1" s="21"/>
      <c r="C1" s="22"/>
      <c r="D1" s="21"/>
      <c r="E1" s="21"/>
      <c r="F1" s="21"/>
      <c r="G1" s="21"/>
      <c r="H1" s="21"/>
      <c r="I1" s="21"/>
      <c r="J1" s="21" t="s">
        <v>135</v>
      </c>
      <c r="K1" s="21" t="s">
        <v>134</v>
      </c>
      <c r="L1" s="21"/>
      <c r="M1" s="138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5.75">
      <c r="A2" s="20"/>
      <c r="B2" s="21"/>
      <c r="C2" s="22"/>
      <c r="D2" s="21"/>
      <c r="E2" s="53" t="s">
        <v>137</v>
      </c>
      <c r="F2" s="21"/>
      <c r="G2" s="21"/>
      <c r="H2" s="21"/>
      <c r="I2" s="21"/>
      <c r="J2" s="21"/>
      <c r="K2" s="21"/>
      <c r="L2" s="21"/>
      <c r="M2" s="138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2.75">
      <c r="A3" s="20"/>
      <c r="B3" s="21"/>
      <c r="C3" s="22"/>
      <c r="D3" s="21"/>
      <c r="E3" s="21"/>
      <c r="F3" s="21" t="s">
        <v>117</v>
      </c>
      <c r="G3" s="21"/>
      <c r="H3" s="21"/>
      <c r="I3" s="21"/>
      <c r="J3" s="21"/>
      <c r="K3" s="21"/>
      <c r="L3" s="21"/>
      <c r="M3" s="138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3.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138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24.75" customHeight="1" thickBot="1">
      <c r="A5" s="23" t="s">
        <v>0</v>
      </c>
      <c r="B5" s="196" t="s">
        <v>1</v>
      </c>
      <c r="C5" s="197"/>
      <c r="D5" s="17" t="s">
        <v>116</v>
      </c>
      <c r="E5" s="17">
        <v>2011</v>
      </c>
      <c r="F5" s="17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55">
        <v>2019</v>
      </c>
      <c r="N5" s="155">
        <v>2020</v>
      </c>
      <c r="O5" s="155">
        <v>2021</v>
      </c>
      <c r="P5" s="139"/>
      <c r="Q5" s="139"/>
      <c r="R5" s="139"/>
      <c r="S5" s="139"/>
      <c r="T5" s="139"/>
      <c r="U5" s="139"/>
      <c r="V5" s="139"/>
    </row>
    <row r="6" spans="1:22" ht="12.75">
      <c r="A6" s="24" t="s">
        <v>22</v>
      </c>
      <c r="B6" s="198" t="s">
        <v>2</v>
      </c>
      <c r="C6" s="199"/>
      <c r="D6" s="59">
        <f aca="true" t="shared" si="0" ref="D6:L6">D7+D8</f>
        <v>10422239</v>
      </c>
      <c r="E6" s="59">
        <f t="shared" si="0"/>
        <v>13499492</v>
      </c>
      <c r="F6" s="59">
        <f t="shared" si="0"/>
        <v>8861000</v>
      </c>
      <c r="G6" s="59">
        <f t="shared" si="0"/>
        <v>8898000</v>
      </c>
      <c r="H6" s="59">
        <f t="shared" si="0"/>
        <v>8986000</v>
      </c>
      <c r="I6" s="59">
        <f t="shared" si="0"/>
        <v>9075000</v>
      </c>
      <c r="J6" s="59">
        <f t="shared" si="0"/>
        <v>9165000</v>
      </c>
      <c r="K6" s="59">
        <f t="shared" si="0"/>
        <v>9306000</v>
      </c>
      <c r="L6" s="59">
        <f t="shared" si="0"/>
        <v>9398000</v>
      </c>
      <c r="M6" s="156">
        <f>M7+M8</f>
        <v>9440000</v>
      </c>
      <c r="N6" s="156">
        <f>N7+N8</f>
        <v>9533000</v>
      </c>
      <c r="O6" s="156">
        <f>O7+O8</f>
        <v>9627000</v>
      </c>
      <c r="P6" s="139"/>
      <c r="Q6" s="139"/>
      <c r="R6" s="139"/>
      <c r="S6" s="139"/>
      <c r="T6" s="139"/>
      <c r="U6" s="139"/>
      <c r="V6" s="139"/>
    </row>
    <row r="7" spans="1:22" ht="12.75" customHeight="1">
      <c r="A7" s="25" t="s">
        <v>23</v>
      </c>
      <c r="B7" s="26"/>
      <c r="C7" s="27" t="s">
        <v>3</v>
      </c>
      <c r="D7" s="60">
        <v>8291898</v>
      </c>
      <c r="E7" s="60">
        <v>9273008</v>
      </c>
      <c r="F7" s="60">
        <v>8761000</v>
      </c>
      <c r="G7" s="60">
        <v>8848000</v>
      </c>
      <c r="H7" s="60">
        <v>8936000</v>
      </c>
      <c r="I7" s="60">
        <v>9025000</v>
      </c>
      <c r="J7" s="60">
        <v>9115000</v>
      </c>
      <c r="K7" s="60">
        <v>9206000</v>
      </c>
      <c r="L7" s="60">
        <v>9298000</v>
      </c>
      <c r="M7" s="60">
        <v>9390000</v>
      </c>
      <c r="N7" s="60">
        <v>9483000</v>
      </c>
      <c r="O7" s="60">
        <v>9577000</v>
      </c>
      <c r="P7" s="139"/>
      <c r="Q7" s="139"/>
      <c r="R7" s="139"/>
      <c r="S7" s="139"/>
      <c r="T7" s="139"/>
      <c r="U7" s="139"/>
      <c r="V7" s="139"/>
    </row>
    <row r="8" spans="1:22" ht="12.75">
      <c r="A8" s="25" t="s">
        <v>24</v>
      </c>
      <c r="B8" s="26"/>
      <c r="C8" s="27" t="s">
        <v>4</v>
      </c>
      <c r="D8" s="60">
        <v>2130341</v>
      </c>
      <c r="E8" s="60">
        <v>4226484</v>
      </c>
      <c r="F8" s="61">
        <v>100000</v>
      </c>
      <c r="G8" s="61">
        <v>50000</v>
      </c>
      <c r="H8" s="61">
        <v>50000</v>
      </c>
      <c r="I8" s="61">
        <v>50000</v>
      </c>
      <c r="J8" s="61">
        <v>50000</v>
      </c>
      <c r="K8" s="61">
        <v>100000</v>
      </c>
      <c r="L8" s="61">
        <v>100000</v>
      </c>
      <c r="M8" s="61">
        <v>50000</v>
      </c>
      <c r="N8" s="61">
        <v>50000</v>
      </c>
      <c r="O8" s="61">
        <v>50000</v>
      </c>
      <c r="P8" s="139"/>
      <c r="Q8" s="139"/>
      <c r="R8" s="139"/>
      <c r="S8" s="139"/>
      <c r="T8" s="139"/>
      <c r="U8" s="139"/>
      <c r="V8" s="139"/>
    </row>
    <row r="9" spans="1:22" ht="12.75">
      <c r="A9" s="28"/>
      <c r="B9" s="29" t="s">
        <v>30</v>
      </c>
      <c r="C9" s="30" t="s">
        <v>48</v>
      </c>
      <c r="D9" s="61">
        <v>60000</v>
      </c>
      <c r="E9" s="61">
        <v>440560</v>
      </c>
      <c r="F9" s="61">
        <v>100000</v>
      </c>
      <c r="G9" s="61">
        <v>50000</v>
      </c>
      <c r="H9" s="61">
        <v>50000</v>
      </c>
      <c r="I9" s="61">
        <v>50000</v>
      </c>
      <c r="J9" s="61">
        <v>50000</v>
      </c>
      <c r="K9" s="61">
        <v>100000</v>
      </c>
      <c r="L9" s="61">
        <v>100000</v>
      </c>
      <c r="M9" s="61">
        <v>50000</v>
      </c>
      <c r="N9" s="61">
        <v>50000</v>
      </c>
      <c r="O9" s="61">
        <v>50000</v>
      </c>
      <c r="P9" s="139"/>
      <c r="Q9" s="139"/>
      <c r="R9" s="139"/>
      <c r="S9" s="139"/>
      <c r="T9" s="139"/>
      <c r="U9" s="139"/>
      <c r="V9" s="139"/>
    </row>
    <row r="10" spans="1:22" ht="12.75">
      <c r="A10" s="31" t="s">
        <v>25</v>
      </c>
      <c r="B10" s="191" t="s">
        <v>5</v>
      </c>
      <c r="C10" s="192"/>
      <c r="D10" s="62">
        <f aca="true" t="shared" si="1" ref="D10:L10">D11+D19</f>
        <v>11609793.15</v>
      </c>
      <c r="E10" s="62">
        <f t="shared" si="1"/>
        <v>14785458</v>
      </c>
      <c r="F10" s="62">
        <f t="shared" si="1"/>
        <v>8618114</v>
      </c>
      <c r="G10" s="62">
        <f t="shared" si="1"/>
        <v>8621124</v>
      </c>
      <c r="H10" s="62">
        <f t="shared" si="1"/>
        <v>8688124</v>
      </c>
      <c r="I10" s="62">
        <f t="shared" si="1"/>
        <v>8777124</v>
      </c>
      <c r="J10" s="62">
        <f t="shared" si="1"/>
        <v>8896584</v>
      </c>
      <c r="K10" s="62">
        <f t="shared" si="1"/>
        <v>9037584</v>
      </c>
      <c r="L10" s="62">
        <f t="shared" si="1"/>
        <v>9166584</v>
      </c>
      <c r="M10" s="157">
        <f>M11+M19</f>
        <v>9320784</v>
      </c>
      <c r="N10" s="157">
        <f>N11+N19</f>
        <v>9413784</v>
      </c>
      <c r="O10" s="157">
        <f>O11+O19</f>
        <v>9507800</v>
      </c>
      <c r="P10" s="139"/>
      <c r="Q10" s="139"/>
      <c r="R10" s="139"/>
      <c r="S10" s="139"/>
      <c r="T10" s="139"/>
      <c r="U10" s="139"/>
      <c r="V10" s="139"/>
    </row>
    <row r="11" spans="1:22" ht="12.75">
      <c r="A11" s="25" t="s">
        <v>23</v>
      </c>
      <c r="B11" s="26"/>
      <c r="C11" s="27" t="s">
        <v>3</v>
      </c>
      <c r="D11" s="60">
        <v>6910144</v>
      </c>
      <c r="E11" s="60">
        <v>8214054</v>
      </c>
      <c r="F11" s="60">
        <v>7118114</v>
      </c>
      <c r="G11" s="60">
        <v>7175124</v>
      </c>
      <c r="H11" s="60">
        <v>6753124</v>
      </c>
      <c r="I11" s="60">
        <v>6842124</v>
      </c>
      <c r="J11" s="60">
        <v>6961584</v>
      </c>
      <c r="K11" s="60">
        <v>7102584</v>
      </c>
      <c r="L11" s="60">
        <v>7231584</v>
      </c>
      <c r="M11" s="60">
        <v>7385784</v>
      </c>
      <c r="N11" s="60">
        <v>7478784</v>
      </c>
      <c r="O11" s="60">
        <v>7572800</v>
      </c>
      <c r="P11" s="139"/>
      <c r="Q11" s="139"/>
      <c r="R11" s="139"/>
      <c r="S11" s="139"/>
      <c r="T11" s="139"/>
      <c r="U11" s="139"/>
      <c r="V11" s="139"/>
    </row>
    <row r="12" spans="1:22" ht="12.75">
      <c r="A12" s="28"/>
      <c r="B12" s="193" t="s">
        <v>30</v>
      </c>
      <c r="C12" s="30" t="s">
        <v>57</v>
      </c>
      <c r="D12" s="61">
        <v>43900</v>
      </c>
      <c r="E12" s="61">
        <v>45000</v>
      </c>
      <c r="F12" s="61">
        <v>60220</v>
      </c>
      <c r="G12" s="61">
        <v>55600</v>
      </c>
      <c r="H12" s="61">
        <v>51644</v>
      </c>
      <c r="I12" s="61">
        <v>47700</v>
      </c>
      <c r="J12" s="61">
        <v>43744</v>
      </c>
      <c r="K12" s="61">
        <v>37800</v>
      </c>
      <c r="L12" s="61">
        <v>30844</v>
      </c>
      <c r="M12" s="61">
        <v>23900</v>
      </c>
      <c r="N12" s="61">
        <v>16944</v>
      </c>
      <c r="O12" s="61">
        <v>9000</v>
      </c>
      <c r="P12" s="139"/>
      <c r="Q12" s="139"/>
      <c r="R12" s="139"/>
      <c r="S12" s="139"/>
      <c r="T12" s="139"/>
      <c r="U12" s="139"/>
      <c r="V12" s="139"/>
    </row>
    <row r="13" spans="1:22" ht="12.75">
      <c r="A13" s="28"/>
      <c r="B13" s="194"/>
      <c r="C13" s="30" t="s">
        <v>97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39"/>
      <c r="Q13" s="139"/>
      <c r="R13" s="139"/>
      <c r="S13" s="139"/>
      <c r="T13" s="139"/>
      <c r="U13" s="139"/>
      <c r="V13" s="139"/>
    </row>
    <row r="14" spans="1:22" ht="12.75">
      <c r="A14" s="28"/>
      <c r="B14" s="194"/>
      <c r="C14" s="30" t="s">
        <v>49</v>
      </c>
      <c r="D14" s="61">
        <v>3605404</v>
      </c>
      <c r="E14" s="61">
        <v>3666259.63</v>
      </c>
      <c r="F14" s="61">
        <v>3650000</v>
      </c>
      <c r="G14" s="64">
        <f aca="true" t="shared" si="2" ref="G14:O14">F14*1.05</f>
        <v>3832500</v>
      </c>
      <c r="H14" s="64">
        <f t="shared" si="2"/>
        <v>4024125</v>
      </c>
      <c r="I14" s="64">
        <f t="shared" si="2"/>
        <v>4225331.25</v>
      </c>
      <c r="J14" s="64">
        <f t="shared" si="2"/>
        <v>4436597.8125</v>
      </c>
      <c r="K14" s="64">
        <f t="shared" si="2"/>
        <v>4658427.703125</v>
      </c>
      <c r="L14" s="64">
        <f t="shared" si="2"/>
        <v>4891349.088281251</v>
      </c>
      <c r="M14" s="67">
        <f t="shared" si="2"/>
        <v>5135916.542695314</v>
      </c>
      <c r="N14" s="67">
        <f t="shared" si="2"/>
        <v>5392712.369830079</v>
      </c>
      <c r="O14" s="67">
        <f t="shared" si="2"/>
        <v>5662347.988321584</v>
      </c>
      <c r="P14" s="139"/>
      <c r="Q14" s="139"/>
      <c r="R14" s="139"/>
      <c r="S14" s="139"/>
      <c r="T14" s="139"/>
      <c r="U14" s="139"/>
      <c r="V14" s="139"/>
    </row>
    <row r="15" spans="1:22" ht="25.5">
      <c r="A15" s="28"/>
      <c r="B15" s="194"/>
      <c r="C15" s="30" t="s">
        <v>17</v>
      </c>
      <c r="D15" s="61">
        <v>1382972</v>
      </c>
      <c r="E15" s="142">
        <v>1380415</v>
      </c>
      <c r="F15" s="142">
        <v>1350000</v>
      </c>
      <c r="G15" s="142">
        <v>1370000</v>
      </c>
      <c r="H15" s="142">
        <v>1390000</v>
      </c>
      <c r="I15" s="142">
        <v>1400000</v>
      </c>
      <c r="J15" s="142">
        <v>1410000</v>
      </c>
      <c r="K15" s="142">
        <v>1420000</v>
      </c>
      <c r="L15" s="142">
        <v>1430000</v>
      </c>
      <c r="M15" s="142">
        <v>1440000</v>
      </c>
      <c r="N15" s="142">
        <v>1450000</v>
      </c>
      <c r="O15" s="142">
        <v>1460000</v>
      </c>
      <c r="P15" s="141"/>
      <c r="Q15" s="141"/>
      <c r="R15" s="141"/>
      <c r="S15" s="141"/>
      <c r="T15" s="139"/>
      <c r="U15" s="139"/>
      <c r="V15" s="139"/>
    </row>
    <row r="16" spans="1:22" ht="25.5">
      <c r="A16" s="28"/>
      <c r="B16" s="194"/>
      <c r="C16" s="30" t="s">
        <v>100</v>
      </c>
      <c r="D16" s="61">
        <v>0</v>
      </c>
      <c r="E16" s="64">
        <f>Przedsięwzięcia!F10</f>
        <v>1760</v>
      </c>
      <c r="F16" s="64">
        <f>Przedsięwzięcia!G10</f>
        <v>30720</v>
      </c>
      <c r="G16" s="64">
        <f>Przedsięwzięcia!H10</f>
        <v>9240</v>
      </c>
      <c r="H16" s="64">
        <f>Przedsięwzięcia!I10</f>
        <v>0</v>
      </c>
      <c r="I16" s="64">
        <f>Przedsięwzięcia!J10</f>
        <v>0</v>
      </c>
      <c r="J16" s="64"/>
      <c r="K16" s="64"/>
      <c r="L16" s="64"/>
      <c r="M16" s="67"/>
      <c r="N16" s="67"/>
      <c r="O16" s="67"/>
      <c r="P16" s="139"/>
      <c r="Q16" s="139"/>
      <c r="R16" s="139"/>
      <c r="S16" s="139"/>
      <c r="T16" s="139"/>
      <c r="U16" s="139"/>
      <c r="V16" s="139"/>
    </row>
    <row r="17" spans="1:22" ht="25.5">
      <c r="A17" s="28"/>
      <c r="B17" s="194"/>
      <c r="C17" s="30" t="s">
        <v>99</v>
      </c>
      <c r="D17" s="61">
        <v>0</v>
      </c>
      <c r="E17" s="64">
        <f>Przedsięwzięcia!F5</f>
        <v>93500</v>
      </c>
      <c r="F17" s="64">
        <f>Przedsięwzięcia!G5</f>
        <v>155000</v>
      </c>
      <c r="G17" s="64">
        <f>Przedsięwzięcia!H5</f>
        <v>0</v>
      </c>
      <c r="H17" s="64">
        <f>Przedsięwzięcia!I5</f>
        <v>0</v>
      </c>
      <c r="I17" s="64">
        <f>Przedsięwzięcia!J5</f>
        <v>0</v>
      </c>
      <c r="J17" s="64"/>
      <c r="K17" s="64"/>
      <c r="L17" s="64"/>
      <c r="M17" s="67"/>
      <c r="N17" s="67"/>
      <c r="O17" s="67"/>
      <c r="P17" s="139"/>
      <c r="Q17" s="139"/>
      <c r="R17" s="139"/>
      <c r="S17" s="139"/>
      <c r="T17" s="139"/>
      <c r="U17" s="139"/>
      <c r="V17" s="139"/>
    </row>
    <row r="18" spans="1:22" ht="25.5">
      <c r="A18" s="28"/>
      <c r="B18" s="195"/>
      <c r="C18" s="32" t="s">
        <v>98</v>
      </c>
      <c r="D18" s="61">
        <v>0</v>
      </c>
      <c r="E18" s="64">
        <f>Przedsięwzięcia!F18</f>
        <v>0</v>
      </c>
      <c r="F18" s="64">
        <f>Przedsięwzięcia!G18</f>
        <v>0</v>
      </c>
      <c r="G18" s="64">
        <f>Przedsięwzięcia!H18</f>
        <v>0</v>
      </c>
      <c r="H18" s="64">
        <f>Przedsięwzięcia!I18</f>
        <v>0</v>
      </c>
      <c r="I18" s="64">
        <f>Przedsięwzięcia!J18</f>
        <v>0</v>
      </c>
      <c r="J18" s="67"/>
      <c r="K18" s="67"/>
      <c r="L18" s="67"/>
      <c r="M18" s="67"/>
      <c r="N18" s="67"/>
      <c r="O18" s="67"/>
      <c r="P18" s="139"/>
      <c r="Q18" s="139"/>
      <c r="R18" s="139"/>
      <c r="S18" s="139"/>
      <c r="T18" s="139"/>
      <c r="U18" s="139"/>
      <c r="V18" s="139"/>
    </row>
    <row r="19" spans="1:22" ht="12.75">
      <c r="A19" s="25" t="s">
        <v>24</v>
      </c>
      <c r="B19" s="26"/>
      <c r="C19" s="27" t="s">
        <v>4</v>
      </c>
      <c r="D19" s="60">
        <v>4699649.15</v>
      </c>
      <c r="E19" s="60">
        <v>6571404</v>
      </c>
      <c r="F19" s="60">
        <v>1500000</v>
      </c>
      <c r="G19" s="60">
        <v>1446000</v>
      </c>
      <c r="H19" s="60">
        <v>1935000</v>
      </c>
      <c r="I19" s="60">
        <v>1935000</v>
      </c>
      <c r="J19" s="60">
        <v>1935000</v>
      </c>
      <c r="K19" s="60">
        <v>1935000</v>
      </c>
      <c r="L19" s="60">
        <v>1935000</v>
      </c>
      <c r="M19" s="60">
        <v>1935000</v>
      </c>
      <c r="N19" s="60">
        <v>1935000</v>
      </c>
      <c r="O19" s="60">
        <v>1935000</v>
      </c>
      <c r="P19" s="139"/>
      <c r="Q19" s="139"/>
      <c r="R19" s="139"/>
      <c r="S19" s="139"/>
      <c r="T19" s="139"/>
      <c r="U19" s="139"/>
      <c r="V19" s="139"/>
    </row>
    <row r="20" spans="1:22" ht="31.5">
      <c r="A20" s="28"/>
      <c r="B20" s="33" t="s">
        <v>30</v>
      </c>
      <c r="C20" s="30" t="s">
        <v>105</v>
      </c>
      <c r="D20" s="61">
        <v>4392658</v>
      </c>
      <c r="E20" s="64">
        <f>Przedsięwzięcia!F15</f>
        <v>4220265.04</v>
      </c>
      <c r="F20" s="64">
        <f>Przedsięwzięcia!G15</f>
        <v>750000</v>
      </c>
      <c r="G20" s="64">
        <f>Przedsięwzięcia!H15</f>
        <v>73000</v>
      </c>
      <c r="H20" s="64">
        <f>Przedsięwzięcia!I15</f>
        <v>10000</v>
      </c>
      <c r="I20" s="64">
        <f>Przedsięwzięcia!J15</f>
        <v>0</v>
      </c>
      <c r="J20" s="67"/>
      <c r="K20" s="67"/>
      <c r="L20" s="67"/>
      <c r="M20" s="67"/>
      <c r="N20" s="67"/>
      <c r="O20" s="67"/>
      <c r="P20" s="139"/>
      <c r="Q20" s="139"/>
      <c r="R20" s="139"/>
      <c r="S20" s="139"/>
      <c r="T20" s="139"/>
      <c r="U20" s="139"/>
      <c r="V20" s="139"/>
    </row>
    <row r="21" spans="1:22" ht="12.75">
      <c r="A21" s="31" t="s">
        <v>26</v>
      </c>
      <c r="B21" s="191" t="s">
        <v>6</v>
      </c>
      <c r="C21" s="192"/>
      <c r="D21" s="62">
        <f>D22+D26+D27+D28</f>
        <v>1187554</v>
      </c>
      <c r="E21" s="62">
        <f aca="true" t="shared" si="3" ref="E21:L21">E22+E26+E27+E28</f>
        <v>3624141.63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57">
        <f>M22+M26+M27+M28</f>
        <v>0</v>
      </c>
      <c r="N21" s="157">
        <f>N22+N26+N27+N28</f>
        <v>0</v>
      </c>
      <c r="O21" s="157">
        <f>O22+O26+O27+O28</f>
        <v>0</v>
      </c>
      <c r="P21" s="139"/>
      <c r="Q21" s="139"/>
      <c r="R21" s="139"/>
      <c r="S21" s="139"/>
      <c r="T21" s="139"/>
      <c r="U21" s="139"/>
      <c r="V21" s="139"/>
    </row>
    <row r="22" spans="1:22" ht="12.75">
      <c r="A22" s="25" t="s">
        <v>23</v>
      </c>
      <c r="B22" s="26"/>
      <c r="C22" s="27" t="s">
        <v>7</v>
      </c>
      <c r="D22" s="63">
        <f>D23+D24+D25</f>
        <v>1118835</v>
      </c>
      <c r="E22" s="63">
        <f aca="true" t="shared" si="4" ref="E22:L22">E23+E24+E25</f>
        <v>3114375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158">
        <f>M23+M24+M25</f>
        <v>0</v>
      </c>
      <c r="N22" s="158">
        <f>N23+N24+N25</f>
        <v>0</v>
      </c>
      <c r="O22" s="158">
        <f>O23+O24+O25</f>
        <v>0</v>
      </c>
      <c r="P22" s="139"/>
      <c r="Q22" s="139"/>
      <c r="R22" s="139"/>
      <c r="S22" s="139"/>
      <c r="T22" s="139"/>
      <c r="U22" s="139"/>
      <c r="V22" s="139"/>
    </row>
    <row r="23" spans="1:22" ht="12.75">
      <c r="A23" s="28"/>
      <c r="B23" s="200" t="s">
        <v>30</v>
      </c>
      <c r="C23" s="30" t="s">
        <v>8</v>
      </c>
      <c r="D23" s="61">
        <v>1118835</v>
      </c>
      <c r="E23" s="61">
        <v>3114375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39"/>
      <c r="Q23" s="139"/>
      <c r="R23" s="139"/>
      <c r="S23" s="139"/>
      <c r="T23" s="139"/>
      <c r="U23" s="139"/>
      <c r="V23" s="139"/>
    </row>
    <row r="24" spans="1:22" ht="12.75">
      <c r="A24" s="28"/>
      <c r="B24" s="201"/>
      <c r="C24" s="30" t="s">
        <v>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39"/>
      <c r="Q24" s="139"/>
      <c r="R24" s="139"/>
      <c r="S24" s="139"/>
      <c r="T24" s="139"/>
      <c r="U24" s="139"/>
      <c r="V24" s="139"/>
    </row>
    <row r="25" spans="1:22" ht="12.75">
      <c r="A25" s="28"/>
      <c r="B25" s="202"/>
      <c r="C25" s="30" t="s">
        <v>10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39"/>
      <c r="Q25" s="139"/>
      <c r="R25" s="139"/>
      <c r="S25" s="139"/>
      <c r="T25" s="139"/>
      <c r="U25" s="139"/>
      <c r="V25" s="139"/>
    </row>
    <row r="26" spans="1:22" ht="12.75">
      <c r="A26" s="25" t="s">
        <v>24</v>
      </c>
      <c r="B26" s="26"/>
      <c r="C26" s="27" t="s">
        <v>11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39"/>
      <c r="Q26" s="139"/>
      <c r="R26" s="139"/>
      <c r="S26" s="139"/>
      <c r="T26" s="139"/>
      <c r="U26" s="139"/>
      <c r="V26" s="139"/>
    </row>
    <row r="27" spans="1:22" ht="12.75">
      <c r="A27" s="25" t="s">
        <v>27</v>
      </c>
      <c r="B27" s="26"/>
      <c r="C27" s="27" t="s">
        <v>12</v>
      </c>
      <c r="D27" s="60">
        <v>29420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39"/>
      <c r="Q27" s="139"/>
      <c r="R27" s="139"/>
      <c r="S27" s="139"/>
      <c r="T27" s="139"/>
      <c r="U27" s="139"/>
      <c r="V27" s="139"/>
    </row>
    <row r="28" spans="1:22" ht="12.75">
      <c r="A28" s="25" t="s">
        <v>28</v>
      </c>
      <c r="B28" s="26"/>
      <c r="C28" s="27" t="s">
        <v>13</v>
      </c>
      <c r="D28" s="60">
        <v>39299</v>
      </c>
      <c r="E28" s="60">
        <v>509766.63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39"/>
      <c r="Q28" s="139"/>
      <c r="R28" s="139"/>
      <c r="S28" s="139"/>
      <c r="T28" s="139"/>
      <c r="U28" s="139"/>
      <c r="V28" s="139"/>
    </row>
    <row r="29" spans="1:22" ht="12.75">
      <c r="A29" s="31" t="s">
        <v>29</v>
      </c>
      <c r="B29" s="191" t="s">
        <v>14</v>
      </c>
      <c r="C29" s="192"/>
      <c r="D29" s="62">
        <f>D30+D34</f>
        <v>1141070</v>
      </c>
      <c r="E29" s="62">
        <f aca="true" t="shared" si="5" ref="E29:L29">E30+E34</f>
        <v>2338176</v>
      </c>
      <c r="F29" s="62">
        <f t="shared" si="5"/>
        <v>242886</v>
      </c>
      <c r="G29" s="62">
        <f t="shared" si="5"/>
        <v>276876</v>
      </c>
      <c r="H29" s="62">
        <f t="shared" si="5"/>
        <v>297876</v>
      </c>
      <c r="I29" s="62">
        <f t="shared" si="5"/>
        <v>297876</v>
      </c>
      <c r="J29" s="62">
        <f t="shared" si="5"/>
        <v>268416</v>
      </c>
      <c r="K29" s="62">
        <f t="shared" si="5"/>
        <v>268416</v>
      </c>
      <c r="L29" s="62">
        <f t="shared" si="5"/>
        <v>231416</v>
      </c>
      <c r="M29" s="157">
        <v>119216</v>
      </c>
      <c r="N29" s="157">
        <f>N30+N34</f>
        <v>119216</v>
      </c>
      <c r="O29" s="157">
        <v>119200</v>
      </c>
      <c r="P29" s="139"/>
      <c r="Q29" s="139"/>
      <c r="R29" s="139"/>
      <c r="S29" s="139"/>
      <c r="T29" s="139"/>
      <c r="U29" s="139"/>
      <c r="V29" s="139"/>
    </row>
    <row r="30" spans="1:22" ht="12.75">
      <c r="A30" s="25" t="s">
        <v>23</v>
      </c>
      <c r="B30" s="26"/>
      <c r="C30" s="27" t="s">
        <v>58</v>
      </c>
      <c r="D30" s="63">
        <f>D31+D32+D33</f>
        <v>1141070</v>
      </c>
      <c r="E30" s="63">
        <f aca="true" t="shared" si="6" ref="E30:L30">E31+E32+E33</f>
        <v>2338176</v>
      </c>
      <c r="F30" s="63">
        <f>F31+F32+F33</f>
        <v>242886</v>
      </c>
      <c r="G30" s="63">
        <f t="shared" si="6"/>
        <v>276876</v>
      </c>
      <c r="H30" s="63">
        <f t="shared" si="6"/>
        <v>297876</v>
      </c>
      <c r="I30" s="63">
        <f t="shared" si="6"/>
        <v>297876</v>
      </c>
      <c r="J30" s="63">
        <f>J31+J32+J33</f>
        <v>268416</v>
      </c>
      <c r="K30" s="63">
        <f t="shared" si="6"/>
        <v>268416</v>
      </c>
      <c r="L30" s="63">
        <f t="shared" si="6"/>
        <v>231416</v>
      </c>
      <c r="M30" s="158">
        <v>119216</v>
      </c>
      <c r="N30" s="158">
        <f>N31+N32+N33</f>
        <v>119216</v>
      </c>
      <c r="O30" s="158">
        <v>119200</v>
      </c>
      <c r="P30" s="139"/>
      <c r="Q30" s="139"/>
      <c r="R30" s="139"/>
      <c r="S30" s="139"/>
      <c r="T30" s="139"/>
      <c r="U30" s="139"/>
      <c r="V30" s="139"/>
    </row>
    <row r="31" spans="1:22" ht="12.75">
      <c r="A31" s="28"/>
      <c r="B31" s="200" t="s">
        <v>30</v>
      </c>
      <c r="C31" s="30" t="s">
        <v>8</v>
      </c>
      <c r="D31" s="61">
        <v>1141070</v>
      </c>
      <c r="E31" s="61">
        <v>2338176</v>
      </c>
      <c r="F31" s="61">
        <v>242886</v>
      </c>
      <c r="G31" s="61">
        <v>276876</v>
      </c>
      <c r="H31" s="61">
        <v>297876</v>
      </c>
      <c r="I31" s="61">
        <v>297876</v>
      </c>
      <c r="J31" s="61">
        <v>268416</v>
      </c>
      <c r="K31" s="61">
        <v>268416</v>
      </c>
      <c r="L31" s="61">
        <v>231416</v>
      </c>
      <c r="M31" s="61">
        <v>119216</v>
      </c>
      <c r="N31" s="61">
        <v>119216</v>
      </c>
      <c r="O31" s="61">
        <v>119200</v>
      </c>
      <c r="P31" s="139"/>
      <c r="Q31" s="139"/>
      <c r="R31" s="139"/>
      <c r="S31" s="139"/>
      <c r="T31" s="139"/>
      <c r="U31" s="139"/>
      <c r="V31" s="139"/>
    </row>
    <row r="32" spans="1:22" ht="12.75">
      <c r="A32" s="28"/>
      <c r="B32" s="201"/>
      <c r="C32" s="30" t="s">
        <v>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39"/>
      <c r="Q32" s="139"/>
      <c r="R32" s="139"/>
      <c r="S32" s="139"/>
      <c r="T32" s="139"/>
      <c r="U32" s="139"/>
      <c r="V32" s="139"/>
    </row>
    <row r="33" spans="1:22" ht="12.75">
      <c r="A33" s="28"/>
      <c r="B33" s="202"/>
      <c r="C33" s="3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39"/>
      <c r="Q33" s="139"/>
      <c r="R33" s="139"/>
      <c r="S33" s="139"/>
      <c r="T33" s="139"/>
      <c r="U33" s="139"/>
      <c r="V33" s="139"/>
    </row>
    <row r="34" spans="1:22" ht="12.75">
      <c r="A34" s="25" t="s">
        <v>24</v>
      </c>
      <c r="B34" s="26"/>
      <c r="C34" s="2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39"/>
      <c r="Q34" s="139"/>
      <c r="R34" s="139"/>
      <c r="S34" s="139"/>
      <c r="T34" s="139"/>
      <c r="U34" s="139"/>
      <c r="V34" s="139"/>
    </row>
    <row r="35" spans="1:22" ht="12.75">
      <c r="A35" s="31" t="s">
        <v>32</v>
      </c>
      <c r="B35" s="191" t="s">
        <v>16</v>
      </c>
      <c r="C35" s="192"/>
      <c r="D35" s="62">
        <f aca="true" t="shared" si="7" ref="D35:L35">D6-D10</f>
        <v>-1187554.1500000004</v>
      </c>
      <c r="E35" s="62">
        <f t="shared" si="7"/>
        <v>-1285966</v>
      </c>
      <c r="F35" s="62">
        <f t="shared" si="7"/>
        <v>242886</v>
      </c>
      <c r="G35" s="62">
        <f t="shared" si="7"/>
        <v>276876</v>
      </c>
      <c r="H35" s="62">
        <f t="shared" si="7"/>
        <v>297876</v>
      </c>
      <c r="I35" s="62">
        <f t="shared" si="7"/>
        <v>297876</v>
      </c>
      <c r="J35" s="62">
        <f t="shared" si="7"/>
        <v>268416</v>
      </c>
      <c r="K35" s="62">
        <f t="shared" si="7"/>
        <v>268416</v>
      </c>
      <c r="L35" s="62">
        <f t="shared" si="7"/>
        <v>231416</v>
      </c>
      <c r="M35" s="157">
        <v>119216</v>
      </c>
      <c r="N35" s="157">
        <v>119216</v>
      </c>
      <c r="O35" s="157">
        <v>119200</v>
      </c>
      <c r="P35" s="139"/>
      <c r="Q35" s="139"/>
      <c r="R35" s="139"/>
      <c r="S35" s="139"/>
      <c r="T35" s="139"/>
      <c r="U35" s="139"/>
      <c r="V35" s="139"/>
    </row>
    <row r="36" spans="1:22" ht="12.75">
      <c r="A36" s="31" t="s">
        <v>33</v>
      </c>
      <c r="B36" s="191" t="s">
        <v>18</v>
      </c>
      <c r="C36" s="192"/>
      <c r="D36" s="62">
        <f>D37+D38+D39+D40+D41+D42</f>
        <v>1187554</v>
      </c>
      <c r="E36" s="62">
        <f aca="true" t="shared" si="8" ref="E36:L36">E37+E38+E39+E40+E41+E42</f>
        <v>1285966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157">
        <f>M37+M38+M39+M40+M41+M42</f>
        <v>0</v>
      </c>
      <c r="N36" s="157">
        <f>N37+N38+N39+N40+N41+N42</f>
        <v>0</v>
      </c>
      <c r="O36" s="157">
        <f>O37+O38+O39+O40+O41+O42</f>
        <v>0</v>
      </c>
      <c r="P36" s="139"/>
      <c r="Q36" s="139"/>
      <c r="R36" s="139"/>
      <c r="S36" s="139"/>
      <c r="T36" s="139"/>
      <c r="U36" s="139"/>
      <c r="V36" s="139"/>
    </row>
    <row r="37" spans="1:22" ht="12.75">
      <c r="A37" s="28"/>
      <c r="B37" s="34"/>
      <c r="C37" s="35" t="s">
        <v>8</v>
      </c>
      <c r="D37" s="64">
        <f>IF(D35&lt;0,IF(D23&gt;(-D35),(-D35),D23),0)</f>
        <v>1118835</v>
      </c>
      <c r="E37" s="64">
        <f aca="true" t="shared" si="9" ref="E37:L37">IF(E35&lt;0,IF(E23&gt;(-E35),(-E35),E23),0)</f>
        <v>1285966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7">
        <f>IF(M35&lt;0,IF(M23&gt;(-M35),(-M35),M23),0)</f>
        <v>0</v>
      </c>
      <c r="N37" s="67">
        <f>IF(N35&lt;0,IF(N23&gt;(-N35),(-N35),N23),0)</f>
        <v>0</v>
      </c>
      <c r="O37" s="67">
        <f>IF(O35&lt;0,IF(O23&gt;(-O35),(-O35),O23),0)</f>
        <v>0</v>
      </c>
      <c r="P37" s="139"/>
      <c r="Q37" s="139"/>
      <c r="R37" s="139"/>
      <c r="S37" s="139"/>
      <c r="T37" s="139"/>
      <c r="U37" s="139"/>
      <c r="V37" s="139"/>
    </row>
    <row r="38" spans="1:22" ht="12.75">
      <c r="A38" s="28"/>
      <c r="B38" s="34"/>
      <c r="C38" s="35" t="s">
        <v>9</v>
      </c>
      <c r="D38" s="64">
        <f>IF((D37+D35)&lt;0,IF(D24&gt;(-D35-D37),(-D35-D37),D24),0)</f>
        <v>0</v>
      </c>
      <c r="E38" s="64">
        <f aca="true" t="shared" si="10" ref="E38:L38">IF((E37+E35)&lt;0,IF(E24&gt;(-E35-E37),(-E35-E37),E24),0)</f>
        <v>0</v>
      </c>
      <c r="F38" s="64">
        <f t="shared" si="10"/>
        <v>0</v>
      </c>
      <c r="G38" s="64">
        <f t="shared" si="10"/>
        <v>0</v>
      </c>
      <c r="H38" s="64">
        <f t="shared" si="10"/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7">
        <f>IF((M37+M35)&lt;0,IF(M24&gt;(-M35-M37),(-M35-M37),M24),0)</f>
        <v>0</v>
      </c>
      <c r="N38" s="67">
        <f>IF((N37+N35)&lt;0,IF(N24&gt;(-N35-N37),(-N35-N37),N24),0)</f>
        <v>0</v>
      </c>
      <c r="O38" s="67">
        <f>IF((O37+O35)&lt;0,IF(O24&gt;(-O35-O37),(-O35-O37),O24),0)</f>
        <v>0</v>
      </c>
      <c r="P38" s="139"/>
      <c r="Q38" s="139"/>
      <c r="R38" s="139"/>
      <c r="S38" s="139"/>
      <c r="T38" s="139"/>
      <c r="U38" s="139"/>
      <c r="V38" s="139"/>
    </row>
    <row r="39" spans="1:22" ht="12.75">
      <c r="A39" s="28"/>
      <c r="B39" s="34"/>
      <c r="C39" s="35" t="s">
        <v>10</v>
      </c>
      <c r="D39" s="64">
        <f>IF((D37+D35+D38)&lt;0,IF(D25&gt;(-D35-D37-D38),(-D35-D37-D38),D25),0)</f>
        <v>0</v>
      </c>
      <c r="E39" s="64">
        <f aca="true" t="shared" si="11" ref="E39:L39">IF((E37+E35+E38)&lt;0,IF(E25&gt;(-E35-E37-E38),(-E35-E37-E38),E25),0)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7">
        <f>IF((M37+M35+M38)&lt;0,IF(M25&gt;(-M35-M37-M38),(-M35-M37-M38),M25),0)</f>
        <v>0</v>
      </c>
      <c r="N39" s="67">
        <f>IF((N37+N35+N38)&lt;0,IF(N25&gt;(-N35-N37-N38),(-N35-N37-N38),N25),0)</f>
        <v>0</v>
      </c>
      <c r="O39" s="67">
        <f>IF((O37+O35+O38)&lt;0,IF(O25&gt;(-O35-O37-O38),(-O35-O37-O38),O25),0)</f>
        <v>0</v>
      </c>
      <c r="P39" s="139"/>
      <c r="Q39" s="139"/>
      <c r="R39" s="139"/>
      <c r="S39" s="139"/>
      <c r="T39" s="139"/>
      <c r="U39" s="139"/>
      <c r="V39" s="139"/>
    </row>
    <row r="40" spans="1:22" ht="12.75">
      <c r="A40" s="28"/>
      <c r="B40" s="34"/>
      <c r="C40" s="35" t="s">
        <v>11</v>
      </c>
      <c r="D40" s="64">
        <f>IF((D37+D35+D38+D39)&lt;0,IF(D26&gt;(-D35-D37-D38-D39),(-D35-D37-D38-D39),D26),0)</f>
        <v>0</v>
      </c>
      <c r="E40" s="64">
        <f aca="true" t="shared" si="12" ref="E40:L40">IF((E37+E35+E38+E39)&lt;0,IF(E26&gt;(-E35-E37-E38-E39),(-E35-E37-E38-E39),E26),0)</f>
        <v>0</v>
      </c>
      <c r="F40" s="64">
        <f t="shared" si="12"/>
        <v>0</v>
      </c>
      <c r="G40" s="64">
        <f t="shared" si="12"/>
        <v>0</v>
      </c>
      <c r="H40" s="64">
        <f t="shared" si="12"/>
        <v>0</v>
      </c>
      <c r="I40" s="64">
        <f t="shared" si="12"/>
        <v>0</v>
      </c>
      <c r="J40" s="64">
        <f t="shared" si="12"/>
        <v>0</v>
      </c>
      <c r="K40" s="64">
        <f t="shared" si="12"/>
        <v>0</v>
      </c>
      <c r="L40" s="64">
        <f t="shared" si="12"/>
        <v>0</v>
      </c>
      <c r="M40" s="67">
        <f>IF((M37+M35+M38+M39)&lt;0,IF(M26&gt;(-M35-M37-M38-M39),(-M35-M37-M38-M39),M26),0)</f>
        <v>0</v>
      </c>
      <c r="N40" s="67">
        <f>IF((N37+N35+N38+N39)&lt;0,IF(N26&gt;(-N35-N37-N38-N39),(-N35-N37-N38-N39),N26),0)</f>
        <v>0</v>
      </c>
      <c r="O40" s="67">
        <f>IF((O37+O35+O38+O39)&lt;0,IF(O26&gt;(-O35-O37-O38-O39),(-O35-O37-O38-O39),O26),0)</f>
        <v>0</v>
      </c>
      <c r="P40" s="139"/>
      <c r="Q40" s="139"/>
      <c r="R40" s="139"/>
      <c r="S40" s="139"/>
      <c r="T40" s="139"/>
      <c r="U40" s="139"/>
      <c r="V40" s="139"/>
    </row>
    <row r="41" spans="1:22" ht="12.75">
      <c r="A41" s="28"/>
      <c r="B41" s="34"/>
      <c r="C41" s="35" t="s">
        <v>12</v>
      </c>
      <c r="D41" s="64">
        <f>IF((D37+D35+D38+D39+D40)&lt;0,IF(D27&gt;(-D35-D37-D38-D39-D40),(-D35-D37-D38-D39-D40),D27),0)</f>
        <v>29420</v>
      </c>
      <c r="E41" s="64">
        <f aca="true" t="shared" si="13" ref="E41:L41">IF((E37+E35+E38+E39+E40)&lt;0,IF(E27&gt;(-E35-E37-E38-E39-E40),(-E35-E37-E38-E39-E40),E27),0)</f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7">
        <f>IF((M37+M35+M38+M39+M40)&lt;0,IF(M27&gt;(-M35-M37-M38-M39-M40),(-M35-M37-M38-M39-M40),M27),0)</f>
        <v>0</v>
      </c>
      <c r="N41" s="67">
        <f>IF((N37+N35+N38+N39+N40)&lt;0,IF(N27&gt;(-N35-N37-N38-N39-N40),(-N35-N37-N38-N39-N40),N27),0)</f>
        <v>0</v>
      </c>
      <c r="O41" s="67">
        <f>IF((O37+O35+O38+O39+O40)&lt;0,IF(O27&gt;(-O35-O37-O38-O39-O40),(-O35-O37-O38-O39-O40),O27),0)</f>
        <v>0</v>
      </c>
      <c r="P41" s="139"/>
      <c r="Q41" s="139"/>
      <c r="R41" s="139"/>
      <c r="S41" s="139"/>
      <c r="T41" s="139"/>
      <c r="U41" s="139"/>
      <c r="V41" s="139"/>
    </row>
    <row r="42" spans="1:22" ht="12.75">
      <c r="A42" s="28"/>
      <c r="B42" s="34"/>
      <c r="C42" s="35" t="s">
        <v>13</v>
      </c>
      <c r="D42" s="64">
        <f>IF((D37+D35+D38+D39+D40+D41)&lt;0,IF(D28&gt;(-D35-D37-D38-D39-D40-D41),(-D35-D37-D38-D39-D40-D41),D28),0)</f>
        <v>39299</v>
      </c>
      <c r="E42" s="64">
        <f aca="true" t="shared" si="14" ref="E42:L42">IF((E37+E35+E38+E39+E40+E41)&lt;0,IF(E28&gt;(-E35-E37-E38-E39-E40-E41),(-E35-E37-E38-E39-E40-E41),E28),0)</f>
        <v>0</v>
      </c>
      <c r="F42" s="64">
        <f t="shared" si="14"/>
        <v>0</v>
      </c>
      <c r="G42" s="64">
        <f t="shared" si="14"/>
        <v>0</v>
      </c>
      <c r="H42" s="64">
        <f t="shared" si="14"/>
        <v>0</v>
      </c>
      <c r="I42" s="64">
        <f t="shared" si="14"/>
        <v>0</v>
      </c>
      <c r="J42" s="64">
        <f t="shared" si="14"/>
        <v>0</v>
      </c>
      <c r="K42" s="64">
        <f t="shared" si="14"/>
        <v>0</v>
      </c>
      <c r="L42" s="64">
        <f t="shared" si="14"/>
        <v>0</v>
      </c>
      <c r="M42" s="67">
        <f>IF((M37+M35+M38+M39+M40+M41)&lt;0,IF(M28&gt;(-M35-M37-M38-M39-M40-M41),(-M35-M37-M38-M39-M40-M41),M28),0)</f>
        <v>0</v>
      </c>
      <c r="N42" s="67">
        <f>IF((N37+N35+N38+N39+N40+N41)&lt;0,IF(N28&gt;(-N35-N37-N38-N39-N40-N41),(-N35-N37-N38-N39-N40-N41),N28),0)</f>
        <v>0</v>
      </c>
      <c r="O42" s="67">
        <f>IF((O37+O35+O38+O39+O40+O41)&lt;0,IF(O28&gt;(-O35-O37-O38-O39-O40-O41),(-O35-O37-O38-O39-O40-O41),O28),0)</f>
        <v>0</v>
      </c>
      <c r="P42" s="139"/>
      <c r="Q42" s="139"/>
      <c r="R42" s="139"/>
      <c r="S42" s="139"/>
      <c r="T42" s="139"/>
      <c r="U42" s="139"/>
      <c r="V42" s="139"/>
    </row>
    <row r="43" spans="1:22" ht="12.75">
      <c r="A43" s="31" t="s">
        <v>34</v>
      </c>
      <c r="B43" s="191" t="s">
        <v>19</v>
      </c>
      <c r="C43" s="192"/>
      <c r="D43" s="62">
        <f>IF(D35&gt;0,D35,0)</f>
        <v>0</v>
      </c>
      <c r="E43" s="62">
        <f>IF(E35&gt;0,E35,0)</f>
        <v>0</v>
      </c>
      <c r="F43" s="62">
        <f aca="true" t="shared" si="15" ref="F43:L43">IF(F35&gt;0,F35,0)</f>
        <v>242886</v>
      </c>
      <c r="G43" s="62">
        <f t="shared" si="15"/>
        <v>276876</v>
      </c>
      <c r="H43" s="62">
        <f t="shared" si="15"/>
        <v>297876</v>
      </c>
      <c r="I43" s="62">
        <f t="shared" si="15"/>
        <v>297876</v>
      </c>
      <c r="J43" s="62">
        <f t="shared" si="15"/>
        <v>268416</v>
      </c>
      <c r="K43" s="62">
        <f t="shared" si="15"/>
        <v>268416</v>
      </c>
      <c r="L43" s="62">
        <f t="shared" si="15"/>
        <v>231416</v>
      </c>
      <c r="M43" s="157">
        <v>119216</v>
      </c>
      <c r="N43" s="157">
        <v>119216</v>
      </c>
      <c r="O43" s="157">
        <v>119200</v>
      </c>
      <c r="P43" s="139"/>
      <c r="Q43" s="139"/>
      <c r="R43" s="139"/>
      <c r="S43" s="139"/>
      <c r="T43" s="139"/>
      <c r="U43" s="139"/>
      <c r="V43" s="139"/>
    </row>
    <row r="44" spans="1:22" ht="12.75">
      <c r="A44" s="28"/>
      <c r="B44" s="34"/>
      <c r="C44" s="35" t="s">
        <v>59</v>
      </c>
      <c r="D44" s="64">
        <f>D43-D45</f>
        <v>0</v>
      </c>
      <c r="E44" s="64">
        <f>E43-E45</f>
        <v>0</v>
      </c>
      <c r="F44" s="64">
        <f aca="true" t="shared" si="16" ref="F44:L44">F43-F45</f>
        <v>242886</v>
      </c>
      <c r="G44" s="64">
        <f t="shared" si="16"/>
        <v>276876</v>
      </c>
      <c r="H44" s="64">
        <f t="shared" si="16"/>
        <v>297876</v>
      </c>
      <c r="I44" s="64">
        <f t="shared" si="16"/>
        <v>297876</v>
      </c>
      <c r="J44" s="64">
        <f t="shared" si="16"/>
        <v>268416</v>
      </c>
      <c r="K44" s="64">
        <f t="shared" si="16"/>
        <v>268416</v>
      </c>
      <c r="L44" s="64">
        <f t="shared" si="16"/>
        <v>231416</v>
      </c>
      <c r="M44" s="67">
        <v>119216</v>
      </c>
      <c r="N44" s="67">
        <v>119216</v>
      </c>
      <c r="O44" s="67">
        <v>119200</v>
      </c>
      <c r="P44" s="139"/>
      <c r="Q44" s="139"/>
      <c r="R44" s="139"/>
      <c r="S44" s="139"/>
      <c r="T44" s="139"/>
      <c r="U44" s="139"/>
      <c r="V44" s="139"/>
    </row>
    <row r="45" spans="1:22" ht="12.75">
      <c r="A45" s="28"/>
      <c r="B45" s="34"/>
      <c r="C45" s="35" t="s">
        <v>21</v>
      </c>
      <c r="D45" s="64">
        <f>IF(D35&gt;0,IF(D34&gt;D35,D35,D34),0)</f>
        <v>0</v>
      </c>
      <c r="E45" s="64">
        <f>IF(E35&gt;0,IF(E34&gt;E35,E35,E34),0)</f>
        <v>0</v>
      </c>
      <c r="F45" s="64">
        <f aca="true" t="shared" si="17" ref="F45:L45">IF(F35&gt;0,IF(F34&gt;F35,F35,F34),0)</f>
        <v>0</v>
      </c>
      <c r="G45" s="64">
        <f t="shared" si="17"/>
        <v>0</v>
      </c>
      <c r="H45" s="64">
        <f t="shared" si="17"/>
        <v>0</v>
      </c>
      <c r="I45" s="64">
        <f t="shared" si="17"/>
        <v>0</v>
      </c>
      <c r="J45" s="64">
        <f t="shared" si="17"/>
        <v>0</v>
      </c>
      <c r="K45" s="64">
        <f t="shared" si="17"/>
        <v>0</v>
      </c>
      <c r="L45" s="64">
        <f t="shared" si="17"/>
        <v>0</v>
      </c>
      <c r="M45" s="67">
        <f>IF(M35&gt;0,IF(M34&gt;M35,M35,M34),0)</f>
        <v>0</v>
      </c>
      <c r="N45" s="67">
        <f>IF(N35&gt;0,IF(N34&gt;N35,N35,N34),0)</f>
        <v>0</v>
      </c>
      <c r="O45" s="67">
        <f>IF(O35&gt;0,IF(O34&gt;O35,O35,O34),0)</f>
        <v>0</v>
      </c>
      <c r="P45" s="139"/>
      <c r="Q45" s="139"/>
      <c r="R45" s="139"/>
      <c r="S45" s="139"/>
      <c r="T45" s="139"/>
      <c r="U45" s="139"/>
      <c r="V45" s="139"/>
    </row>
    <row r="46" spans="1:22" ht="12.75">
      <c r="A46" s="28"/>
      <c r="B46" s="34"/>
      <c r="C46" s="36"/>
      <c r="D46" s="65"/>
      <c r="E46" s="65"/>
      <c r="F46" s="65"/>
      <c r="G46" s="65"/>
      <c r="H46" s="65"/>
      <c r="I46" s="65"/>
      <c r="J46" s="65"/>
      <c r="K46" s="65"/>
      <c r="L46" s="65"/>
      <c r="M46" s="61"/>
      <c r="N46" s="61"/>
      <c r="O46" s="61"/>
      <c r="P46" s="139"/>
      <c r="Q46" s="139"/>
      <c r="R46" s="139"/>
      <c r="S46" s="139"/>
      <c r="T46" s="139"/>
      <c r="U46" s="139"/>
      <c r="V46" s="139"/>
    </row>
    <row r="47" spans="1:22" ht="12.75">
      <c r="A47" s="31" t="s">
        <v>35</v>
      </c>
      <c r="B47" s="37"/>
      <c r="C47" s="38" t="s">
        <v>20</v>
      </c>
      <c r="D47" s="62">
        <f>Startowa!E4+Prognoza!D22-Prognoza!D30</f>
        <v>1465195</v>
      </c>
      <c r="E47" s="62">
        <f>D47+E22-E30</f>
        <v>2241394</v>
      </c>
      <c r="F47" s="62">
        <f aca="true" t="shared" si="18" ref="F47:L47">E47+F22-F30</f>
        <v>1998508</v>
      </c>
      <c r="G47" s="62">
        <f t="shared" si="18"/>
        <v>1721632</v>
      </c>
      <c r="H47" s="62">
        <f t="shared" si="18"/>
        <v>1423756</v>
      </c>
      <c r="I47" s="62">
        <f t="shared" si="18"/>
        <v>1125880</v>
      </c>
      <c r="J47" s="62">
        <f t="shared" si="18"/>
        <v>857464</v>
      </c>
      <c r="K47" s="62">
        <f t="shared" si="18"/>
        <v>589048</v>
      </c>
      <c r="L47" s="62">
        <f t="shared" si="18"/>
        <v>357632</v>
      </c>
      <c r="M47" s="157">
        <v>238416</v>
      </c>
      <c r="N47" s="157">
        <v>119200</v>
      </c>
      <c r="O47" s="157">
        <v>0</v>
      </c>
      <c r="P47" s="139"/>
      <c r="Q47" s="139"/>
      <c r="R47" s="139"/>
      <c r="S47" s="139"/>
      <c r="T47" s="139"/>
      <c r="U47" s="139"/>
      <c r="V47" s="139"/>
    </row>
    <row r="48" spans="1:22" ht="12.75">
      <c r="A48" s="28"/>
      <c r="B48" s="34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159"/>
      <c r="N48" s="159"/>
      <c r="O48" s="159"/>
      <c r="P48" s="139"/>
      <c r="Q48" s="139"/>
      <c r="R48" s="139"/>
      <c r="S48" s="139"/>
      <c r="T48" s="139"/>
      <c r="U48" s="139"/>
      <c r="V48" s="139"/>
    </row>
    <row r="49" spans="1:22" ht="12.75">
      <c r="A49" s="28"/>
      <c r="B49" s="34"/>
      <c r="C49" s="36"/>
      <c r="D49" s="66"/>
      <c r="E49" s="66"/>
      <c r="F49" s="66"/>
      <c r="G49" s="66"/>
      <c r="H49" s="66"/>
      <c r="I49" s="66"/>
      <c r="J49" s="66"/>
      <c r="K49" s="66"/>
      <c r="L49" s="66"/>
      <c r="M49" s="159"/>
      <c r="N49" s="159"/>
      <c r="O49" s="159"/>
      <c r="P49" s="139"/>
      <c r="Q49" s="139"/>
      <c r="R49" s="139"/>
      <c r="S49" s="139"/>
      <c r="T49" s="139"/>
      <c r="U49" s="139"/>
      <c r="V49" s="139"/>
    </row>
    <row r="50" spans="1:22" ht="37.5" customHeight="1">
      <c r="A50" s="31" t="s">
        <v>36</v>
      </c>
      <c r="B50" s="191" t="s">
        <v>72</v>
      </c>
      <c r="C50" s="192"/>
      <c r="D50" s="54">
        <f>(D12+D30+D13+D18)/D6</f>
        <v>0.11369629884710954</v>
      </c>
      <c r="E50" s="54">
        <f>(E12+E30+E13+E18)/E6</f>
        <v>0.1765381986225852</v>
      </c>
      <c r="F50" s="54">
        <f>(F12+F30+F13+F18)/F6</f>
        <v>0.03420674867396457</v>
      </c>
      <c r="G50" s="54">
        <f>(G12+G30+G13+G18)/G6</f>
        <v>0.03736525061811643</v>
      </c>
      <c r="H50" s="55" t="s">
        <v>46</v>
      </c>
      <c r="I50" s="55" t="s">
        <v>46</v>
      </c>
      <c r="J50" s="55" t="s">
        <v>46</v>
      </c>
      <c r="K50" s="55" t="s">
        <v>46</v>
      </c>
      <c r="L50" s="55" t="s">
        <v>46</v>
      </c>
      <c r="M50" s="160" t="s">
        <v>46</v>
      </c>
      <c r="N50" s="160" t="s">
        <v>46</v>
      </c>
      <c r="O50" s="160" t="s">
        <v>46</v>
      </c>
      <c r="P50" s="139"/>
      <c r="Q50" s="139"/>
      <c r="R50" s="139"/>
      <c r="S50" s="139"/>
      <c r="T50" s="139"/>
      <c r="U50" s="139"/>
      <c r="V50" s="139"/>
    </row>
    <row r="51" spans="1:22" ht="50.25" customHeight="1">
      <c r="A51" s="31" t="s">
        <v>37</v>
      </c>
      <c r="B51" s="191" t="s">
        <v>73</v>
      </c>
      <c r="C51" s="192"/>
      <c r="D51" s="54">
        <f>D47/D6</f>
        <v>0.14058351569178176</v>
      </c>
      <c r="E51" s="54">
        <f>E47/E6</f>
        <v>0.16603543303703577</v>
      </c>
      <c r="F51" s="54">
        <f>F47/F6</f>
        <v>0.22553978106308542</v>
      </c>
      <c r="G51" s="54">
        <f>G47/G6</f>
        <v>0.19348527759046977</v>
      </c>
      <c r="H51" s="55" t="s">
        <v>46</v>
      </c>
      <c r="I51" s="55" t="s">
        <v>46</v>
      </c>
      <c r="J51" s="55" t="s">
        <v>46</v>
      </c>
      <c r="K51" s="55" t="s">
        <v>46</v>
      </c>
      <c r="L51" s="55" t="s">
        <v>46</v>
      </c>
      <c r="M51" s="160" t="s">
        <v>46</v>
      </c>
      <c r="N51" s="160" t="s">
        <v>46</v>
      </c>
      <c r="O51" s="160" t="s">
        <v>46</v>
      </c>
      <c r="P51" s="139"/>
      <c r="Q51" s="139"/>
      <c r="R51" s="139"/>
      <c r="S51" s="139"/>
      <c r="T51" s="139"/>
      <c r="U51" s="139"/>
      <c r="V51" s="139"/>
    </row>
    <row r="52" spans="1:22" ht="60.75" customHeight="1">
      <c r="A52" s="40" t="s">
        <v>92</v>
      </c>
      <c r="B52" s="191" t="s">
        <v>115</v>
      </c>
      <c r="C52" s="192"/>
      <c r="D52" s="147">
        <f>(D30+D12+D13+D18)/D6</f>
        <v>0.11369629884710954</v>
      </c>
      <c r="E52" s="147">
        <f>(E30+E12+E13+E18)/E6</f>
        <v>0.1765381986225852</v>
      </c>
      <c r="F52" s="147">
        <f>(F30+F12+F13+F18)/F6</f>
        <v>0.03420674867396457</v>
      </c>
      <c r="G52" s="147">
        <f>(G30+G12+G13+G18)/G6</f>
        <v>0.03736525061811643</v>
      </c>
      <c r="H52" s="147">
        <f aca="true" t="shared" si="19" ref="H52:O52">(H30+H12+H13+H18+H78)/H6</f>
        <v>0.03889606053861563</v>
      </c>
      <c r="I52" s="147">
        <f t="shared" si="19"/>
        <v>0.03808</v>
      </c>
      <c r="J52" s="147">
        <f t="shared" si="19"/>
        <v>0.03406001091107474</v>
      </c>
      <c r="K52" s="147">
        <f t="shared" si="19"/>
        <v>0.03290522243713733</v>
      </c>
      <c r="L52" s="147">
        <f t="shared" si="19"/>
        <v>0.027905937433496487</v>
      </c>
      <c r="M52" s="161">
        <f t="shared" si="19"/>
        <v>0.015160593220338983</v>
      </c>
      <c r="N52" s="161">
        <f t="shared" si="19"/>
        <v>0.014283016888702402</v>
      </c>
      <c r="O52" s="161">
        <f t="shared" si="19"/>
        <v>0.013316713410200479</v>
      </c>
      <c r="P52" s="139"/>
      <c r="Q52" s="139"/>
      <c r="R52" s="139"/>
      <c r="S52" s="139"/>
      <c r="T52" s="139"/>
      <c r="U52" s="139"/>
      <c r="V52" s="139"/>
    </row>
    <row r="53" spans="1:22" ht="51" customHeight="1">
      <c r="A53" s="40" t="s">
        <v>93</v>
      </c>
      <c r="B53" s="204" t="s">
        <v>107</v>
      </c>
      <c r="C53" s="205"/>
      <c r="D53" s="56" t="s">
        <v>46</v>
      </c>
      <c r="E53" s="56" t="s">
        <v>46</v>
      </c>
      <c r="F53" s="56" t="s">
        <v>46</v>
      </c>
      <c r="G53" s="56" t="s">
        <v>46</v>
      </c>
      <c r="H53" s="147">
        <f aca="true" t="shared" si="20" ref="H53:O53">(E67+F67+G67)/3</f>
        <v>0.1671320569269007</v>
      </c>
      <c r="I53" s="147">
        <f t="shared" si="20"/>
        <v>0.21293358119504222</v>
      </c>
      <c r="J53" s="147">
        <f t="shared" si="20"/>
        <v>0.22938529674182648</v>
      </c>
      <c r="K53" s="147">
        <f t="shared" si="20"/>
        <v>0.24498239084966214</v>
      </c>
      <c r="L53" s="147">
        <f t="shared" si="20"/>
        <v>0.24107900105052912</v>
      </c>
      <c r="M53" s="161">
        <f t="shared" si="20"/>
        <v>0.2359029649324171</v>
      </c>
      <c r="N53" s="161">
        <f t="shared" si="20"/>
        <v>0.22830005176792803</v>
      </c>
      <c r="O53" s="161">
        <f t="shared" si="20"/>
        <v>0.22120373271388094</v>
      </c>
      <c r="P53" s="139"/>
      <c r="Q53" s="139"/>
      <c r="R53" s="139"/>
      <c r="S53" s="139"/>
      <c r="T53" s="139"/>
      <c r="U53" s="139"/>
      <c r="V53" s="139"/>
    </row>
    <row r="54" spans="1:22" ht="54" customHeight="1">
      <c r="A54" s="41" t="s">
        <v>94</v>
      </c>
      <c r="B54" s="203" t="s">
        <v>108</v>
      </c>
      <c r="C54" s="203"/>
      <c r="D54" s="56" t="s">
        <v>46</v>
      </c>
      <c r="E54" s="56" t="s">
        <v>46</v>
      </c>
      <c r="F54" s="56" t="s">
        <v>46</v>
      </c>
      <c r="G54" s="56" t="s">
        <v>46</v>
      </c>
      <c r="H54" s="147">
        <f aca="true" t="shared" si="21" ref="H54:O54">H53-H52</f>
        <v>0.12823599638828506</v>
      </c>
      <c r="I54" s="147">
        <f t="shared" si="21"/>
        <v>0.1748535811950422</v>
      </c>
      <c r="J54" s="147">
        <f t="shared" si="21"/>
        <v>0.19532528583075173</v>
      </c>
      <c r="K54" s="147">
        <f t="shared" si="21"/>
        <v>0.2120771684125248</v>
      </c>
      <c r="L54" s="147">
        <f t="shared" si="21"/>
        <v>0.21317306361703264</v>
      </c>
      <c r="M54" s="161">
        <f t="shared" si="21"/>
        <v>0.2207423717120781</v>
      </c>
      <c r="N54" s="161">
        <f t="shared" si="21"/>
        <v>0.21401703487922563</v>
      </c>
      <c r="O54" s="161">
        <f t="shared" si="21"/>
        <v>0.20788701930368048</v>
      </c>
      <c r="P54" s="139"/>
      <c r="Q54" s="139"/>
      <c r="R54" s="139"/>
      <c r="S54" s="139"/>
      <c r="T54" s="139"/>
      <c r="U54" s="139"/>
      <c r="V54" s="139"/>
    </row>
    <row r="55" spans="1:22" ht="36" customHeight="1">
      <c r="A55" s="174" t="s">
        <v>95</v>
      </c>
      <c r="B55" s="188" t="s">
        <v>89</v>
      </c>
      <c r="C55" s="42" t="s">
        <v>90</v>
      </c>
      <c r="D55" s="57">
        <f>D30</f>
        <v>1141070</v>
      </c>
      <c r="E55" s="57">
        <f aca="true" t="shared" si="22" ref="E55:L55">E30</f>
        <v>2338176</v>
      </c>
      <c r="F55" s="57">
        <f t="shared" si="22"/>
        <v>242886</v>
      </c>
      <c r="G55" s="57">
        <f t="shared" si="22"/>
        <v>276876</v>
      </c>
      <c r="H55" s="57">
        <f t="shared" si="22"/>
        <v>297876</v>
      </c>
      <c r="I55" s="57">
        <f t="shared" si="22"/>
        <v>297876</v>
      </c>
      <c r="J55" s="57">
        <f t="shared" si="22"/>
        <v>268416</v>
      </c>
      <c r="K55" s="57">
        <f t="shared" si="22"/>
        <v>268416</v>
      </c>
      <c r="L55" s="57">
        <f t="shared" si="22"/>
        <v>231416</v>
      </c>
      <c r="M55" s="162">
        <v>119216</v>
      </c>
      <c r="N55" s="162">
        <f>N30</f>
        <v>119216</v>
      </c>
      <c r="O55" s="162">
        <f>O30</f>
        <v>119200</v>
      </c>
      <c r="P55" s="139"/>
      <c r="Q55" s="139"/>
      <c r="R55" s="139"/>
      <c r="S55" s="139"/>
      <c r="T55" s="139"/>
      <c r="U55" s="139"/>
      <c r="V55" s="139"/>
    </row>
    <row r="56" spans="1:22" ht="52.5" customHeight="1">
      <c r="A56" s="174"/>
      <c r="B56" s="189"/>
      <c r="C56" s="43" t="s">
        <v>106</v>
      </c>
      <c r="D56" s="57">
        <f>IF(D35&lt;0,0,D35)+D26+D27+D28-D34</f>
        <v>68719</v>
      </c>
      <c r="E56" s="57">
        <f>IF(E35&lt;0,0,E35)+E26+E27+E28-E34</f>
        <v>509766.63</v>
      </c>
      <c r="F56" s="57">
        <f aca="true" t="shared" si="23" ref="F56:L56">IF(F35&lt;0,0,F35)+F26+F27+F28-F34</f>
        <v>242886</v>
      </c>
      <c r="G56" s="57">
        <f t="shared" si="23"/>
        <v>276876</v>
      </c>
      <c r="H56" s="57">
        <f t="shared" si="23"/>
        <v>297876</v>
      </c>
      <c r="I56" s="57">
        <f t="shared" si="23"/>
        <v>297876</v>
      </c>
      <c r="J56" s="57">
        <f t="shared" si="23"/>
        <v>268416</v>
      </c>
      <c r="K56" s="57">
        <f t="shared" si="23"/>
        <v>268416</v>
      </c>
      <c r="L56" s="57">
        <f t="shared" si="23"/>
        <v>231416</v>
      </c>
      <c r="M56" s="162">
        <f>IF(M35&lt;0,0,M35)+M26+M27+M28-M34</f>
        <v>119216</v>
      </c>
      <c r="N56" s="162">
        <f>IF(N35&lt;0,0,N35)+N26+N27+N28-N34</f>
        <v>119216</v>
      </c>
      <c r="O56" s="162">
        <f>IF(O35&lt;0,0,O35)+O26+O27+O28-O34</f>
        <v>119200</v>
      </c>
      <c r="P56" s="139"/>
      <c r="Q56" s="139"/>
      <c r="R56" s="139"/>
      <c r="S56" s="139"/>
      <c r="T56" s="139"/>
      <c r="U56" s="139"/>
      <c r="V56" s="139"/>
    </row>
    <row r="57" spans="1:22" ht="31.5" customHeight="1" thickBot="1">
      <c r="A57" s="175"/>
      <c r="B57" s="190"/>
      <c r="C57" s="44" t="s">
        <v>91</v>
      </c>
      <c r="D57" s="58">
        <f>D55-D56</f>
        <v>1072351</v>
      </c>
      <c r="E57" s="58">
        <f>E55-E56</f>
        <v>1828409.37</v>
      </c>
      <c r="F57" s="58">
        <f aca="true" t="shared" si="24" ref="F57:L57">F55-F56</f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0</v>
      </c>
      <c r="M57" s="163">
        <f>M55-M56</f>
        <v>0</v>
      </c>
      <c r="N57" s="163">
        <f>N55-N56</f>
        <v>0</v>
      </c>
      <c r="O57" s="163">
        <f>O55-O56</f>
        <v>0</v>
      </c>
      <c r="P57" s="139"/>
      <c r="Q57" s="139"/>
      <c r="R57" s="139"/>
      <c r="S57" s="139"/>
      <c r="T57" s="139"/>
      <c r="U57" s="139"/>
      <c r="V57" s="139"/>
    </row>
    <row r="58" spans="1:22" ht="12.75">
      <c r="A58" s="45"/>
      <c r="B58" s="46"/>
      <c r="C58" s="22" t="s">
        <v>118</v>
      </c>
      <c r="D58" s="47"/>
      <c r="E58" s="47"/>
      <c r="F58" s="47"/>
      <c r="G58" s="47"/>
      <c r="H58" s="47"/>
      <c r="I58" s="47"/>
      <c r="J58" s="47"/>
      <c r="K58" s="47"/>
      <c r="L58" s="47"/>
      <c r="M58" s="138"/>
      <c r="N58" s="139"/>
      <c r="O58" s="139"/>
      <c r="P58" s="139"/>
      <c r="Q58" s="139"/>
      <c r="R58" s="139"/>
      <c r="S58" s="139"/>
      <c r="T58" s="139"/>
      <c r="U58" s="139"/>
      <c r="V58" s="139"/>
    </row>
    <row r="59" spans="1:2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38"/>
      <c r="N59" s="139"/>
      <c r="O59" s="139"/>
      <c r="P59" s="139"/>
      <c r="Q59" s="139"/>
      <c r="R59" s="139"/>
      <c r="S59" s="139"/>
      <c r="T59" s="139"/>
      <c r="U59" s="139"/>
      <c r="V59" s="139"/>
    </row>
    <row r="60" spans="1:2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38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1:2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38"/>
      <c r="N61" s="139"/>
      <c r="O61" s="139"/>
      <c r="P61" s="139"/>
      <c r="Q61" s="139"/>
      <c r="R61" s="139"/>
      <c r="S61" s="139"/>
      <c r="T61" s="139"/>
      <c r="U61" s="139"/>
      <c r="V61" s="139"/>
    </row>
    <row r="62" spans="1:22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38"/>
      <c r="N62" s="139"/>
      <c r="O62" s="139"/>
      <c r="P62" s="139"/>
      <c r="Q62" s="139"/>
      <c r="R62" s="139"/>
      <c r="S62" s="139"/>
      <c r="T62" s="139"/>
      <c r="U62" s="139"/>
      <c r="V62" s="139"/>
    </row>
    <row r="63" spans="1:22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138"/>
      <c r="N63" s="139"/>
      <c r="O63" s="139"/>
      <c r="P63" s="139"/>
      <c r="Q63" s="139"/>
      <c r="R63" s="139"/>
      <c r="S63" s="139"/>
      <c r="T63" s="139"/>
      <c r="U63" s="139"/>
      <c r="V63" s="139"/>
    </row>
    <row r="64" spans="1:22" ht="13.5" thickBot="1">
      <c r="A64" s="164" t="s">
        <v>38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4"/>
      <c r="L64" s="165"/>
      <c r="M64" s="165"/>
      <c r="N64" s="165"/>
      <c r="O64" s="166"/>
      <c r="P64" s="139"/>
      <c r="Q64" s="139"/>
      <c r="R64" s="139"/>
      <c r="S64" s="139"/>
      <c r="T64" s="139"/>
      <c r="U64" s="139"/>
      <c r="V64" s="139"/>
    </row>
    <row r="65" spans="1:22" ht="27" customHeight="1">
      <c r="A65" s="48" t="s">
        <v>65</v>
      </c>
      <c r="B65" s="182" t="s">
        <v>113</v>
      </c>
      <c r="C65" s="183"/>
      <c r="D65" s="145">
        <f>(Startowa!C16+Startowa!D16+Startowa!E16)/3</f>
        <v>0.22888016407764636</v>
      </c>
      <c r="E65" s="145">
        <f>(Startowa!D16+Startowa!E16+Prognoza!D67)/3</f>
        <v>0.20828976513048178</v>
      </c>
      <c r="F65" s="145">
        <f>(Startowa!E16+Prognoza!D67+Prognoza!E67)/3</f>
        <v>0.1589488172722585</v>
      </c>
      <c r="G65" s="145">
        <f>(D67+E67+F67)/3</f>
        <v>0.14870182311466587</v>
      </c>
      <c r="H65" s="68" t="s">
        <v>46</v>
      </c>
      <c r="I65" s="68" t="s">
        <v>46</v>
      </c>
      <c r="J65" s="68" t="s">
        <v>46</v>
      </c>
      <c r="K65" s="68" t="s">
        <v>46</v>
      </c>
      <c r="L65" s="68" t="s">
        <v>46</v>
      </c>
      <c r="M65" s="148" t="s">
        <v>46</v>
      </c>
      <c r="N65" s="148" t="s">
        <v>46</v>
      </c>
      <c r="O65" s="148" t="s">
        <v>46</v>
      </c>
      <c r="P65" s="139"/>
      <c r="Q65" s="139"/>
      <c r="R65" s="139"/>
      <c r="S65" s="139"/>
      <c r="T65" s="139"/>
      <c r="U65" s="139"/>
      <c r="V65" s="139"/>
    </row>
    <row r="66" spans="1:22" ht="62.25" customHeight="1">
      <c r="A66" s="48" t="s">
        <v>66</v>
      </c>
      <c r="B66" s="184" t="s">
        <v>88</v>
      </c>
      <c r="C66" s="185"/>
      <c r="D66" s="145">
        <f>D65-D52</f>
        <v>0.11518386523053682</v>
      </c>
      <c r="E66" s="145">
        <f>E65-E52</f>
        <v>0.03175156650789657</v>
      </c>
      <c r="F66" s="145">
        <f>F65-F52</f>
        <v>0.12474206859829395</v>
      </c>
      <c r="G66" s="145">
        <f>G65-G52</f>
        <v>0.11133657249654944</v>
      </c>
      <c r="H66" s="68" t="s">
        <v>46</v>
      </c>
      <c r="I66" s="68" t="s">
        <v>46</v>
      </c>
      <c r="J66" s="68" t="s">
        <v>46</v>
      </c>
      <c r="K66" s="68" t="s">
        <v>46</v>
      </c>
      <c r="L66" s="68" t="s">
        <v>46</v>
      </c>
      <c r="M66" s="148" t="s">
        <v>46</v>
      </c>
      <c r="N66" s="148" t="s">
        <v>46</v>
      </c>
      <c r="O66" s="148" t="s">
        <v>46</v>
      </c>
      <c r="P66" s="139"/>
      <c r="Q66" s="139"/>
      <c r="R66" s="139"/>
      <c r="S66" s="139"/>
      <c r="T66" s="139"/>
      <c r="U66" s="139"/>
      <c r="V66" s="139"/>
    </row>
    <row r="67" spans="1:22" ht="27" customHeight="1">
      <c r="A67" s="49" t="s">
        <v>67</v>
      </c>
      <c r="B67" s="179" t="s">
        <v>114</v>
      </c>
      <c r="C67" s="179"/>
      <c r="D67" s="146">
        <f aca="true" t="shared" si="25" ref="D67:L67">(D7+D9-D11)/D6</f>
        <v>0.13833438285189967</v>
      </c>
      <c r="E67" s="146">
        <f t="shared" si="25"/>
        <v>0.11107929098369035</v>
      </c>
      <c r="F67" s="146">
        <f t="shared" si="25"/>
        <v>0.19669179550840762</v>
      </c>
      <c r="G67" s="146">
        <f t="shared" si="25"/>
        <v>0.19362508428860417</v>
      </c>
      <c r="H67" s="146">
        <f t="shared" si="25"/>
        <v>0.24848386378811485</v>
      </c>
      <c r="I67" s="146">
        <f t="shared" si="25"/>
        <v>0.24604694214876033</v>
      </c>
      <c r="J67" s="146">
        <f t="shared" si="25"/>
        <v>0.2404163666121113</v>
      </c>
      <c r="K67" s="146">
        <f t="shared" si="25"/>
        <v>0.23677369439071566</v>
      </c>
      <c r="L67" s="146">
        <f t="shared" si="25"/>
        <v>0.23051883379442434</v>
      </c>
      <c r="M67" s="149">
        <f>(M7+M9-M11)/M6</f>
        <v>0.21760762711864406</v>
      </c>
      <c r="N67" s="149">
        <f>(N7+N9-N11)/N6</f>
        <v>0.21548473722857442</v>
      </c>
      <c r="O67" s="149">
        <f>(O7+O9-O11)/O6</f>
        <v>0.2133790381219487</v>
      </c>
      <c r="P67" s="139"/>
      <c r="Q67" s="139"/>
      <c r="R67" s="139"/>
      <c r="S67" s="139"/>
      <c r="T67" s="139"/>
      <c r="U67" s="139"/>
      <c r="V67" s="139"/>
    </row>
    <row r="68" spans="1:22" ht="27" customHeight="1">
      <c r="A68" s="48" t="s">
        <v>68</v>
      </c>
      <c r="B68" s="180" t="s">
        <v>50</v>
      </c>
      <c r="C68" s="180"/>
      <c r="D68" s="69">
        <f>D6+D21-D10-D29</f>
        <v>-1141070.1500000004</v>
      </c>
      <c r="E68" s="69">
        <f aca="true" t="shared" si="26" ref="E68:L68">E6+E21-E10-E29</f>
        <v>-0.3700000010430813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150">
        <f>M6+M21-M10-M29</f>
        <v>0</v>
      </c>
      <c r="N68" s="150">
        <v>0</v>
      </c>
      <c r="O68" s="150">
        <v>0</v>
      </c>
      <c r="P68" s="139"/>
      <c r="Q68" s="139"/>
      <c r="R68" s="139"/>
      <c r="S68" s="139"/>
      <c r="T68" s="139"/>
      <c r="U68" s="139"/>
      <c r="V68" s="139"/>
    </row>
    <row r="69" spans="1:22" ht="52.5" customHeight="1">
      <c r="A69" s="50" t="s">
        <v>69</v>
      </c>
      <c r="B69" s="181" t="s">
        <v>87</v>
      </c>
      <c r="C69" s="181"/>
      <c r="D69" s="70">
        <f>D7+D27+D28-D11</f>
        <v>1450473</v>
      </c>
      <c r="E69" s="70">
        <f>E7+E27+E28-E11</f>
        <v>1568720.6300000008</v>
      </c>
      <c r="F69" s="70">
        <f>F7+F27+F28-F11</f>
        <v>1642886</v>
      </c>
      <c r="G69" s="70">
        <f aca="true" t="shared" si="27" ref="G69:L69">G7+G27+G28-G11</f>
        <v>1672876</v>
      </c>
      <c r="H69" s="70">
        <f t="shared" si="27"/>
        <v>2182876</v>
      </c>
      <c r="I69" s="70">
        <f t="shared" si="27"/>
        <v>2182876</v>
      </c>
      <c r="J69" s="70">
        <f t="shared" si="27"/>
        <v>2153416</v>
      </c>
      <c r="K69" s="70">
        <f t="shared" si="27"/>
        <v>2103416</v>
      </c>
      <c r="L69" s="70">
        <f t="shared" si="27"/>
        <v>2066416</v>
      </c>
      <c r="M69" s="151">
        <f>M7+M27+M28-M11</f>
        <v>2004216</v>
      </c>
      <c r="N69" s="151">
        <f>N7+N27+N28-N11</f>
        <v>2004216</v>
      </c>
      <c r="O69" s="151">
        <f>O7+O27+O28-O11</f>
        <v>2004200</v>
      </c>
      <c r="P69" s="139"/>
      <c r="Q69" s="139"/>
      <c r="R69" s="139"/>
      <c r="S69" s="139"/>
      <c r="T69" s="139"/>
      <c r="U69" s="139"/>
      <c r="V69" s="139"/>
    </row>
    <row r="70" spans="1:22" ht="27" customHeight="1">
      <c r="A70" s="51" t="s">
        <v>74</v>
      </c>
      <c r="B70" s="178" t="s">
        <v>80</v>
      </c>
      <c r="C70" s="178"/>
      <c r="D70" s="7">
        <v>5000</v>
      </c>
      <c r="E70" s="7">
        <v>10000</v>
      </c>
      <c r="F70" s="7"/>
      <c r="G70" s="7"/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139"/>
      <c r="Q70" s="139" t="s">
        <v>128</v>
      </c>
      <c r="R70" s="139"/>
      <c r="S70" s="139"/>
      <c r="T70" s="139"/>
      <c r="U70" s="139"/>
      <c r="V70" s="139"/>
    </row>
    <row r="71" spans="1:22" ht="27" customHeight="1">
      <c r="A71" s="51" t="s">
        <v>75</v>
      </c>
      <c r="B71" s="178" t="s">
        <v>81</v>
      </c>
      <c r="C71" s="178"/>
      <c r="D71" s="7">
        <v>957541</v>
      </c>
      <c r="E71" s="7">
        <v>2159514</v>
      </c>
      <c r="F71" s="7"/>
      <c r="G71" s="7"/>
      <c r="H71" s="7"/>
      <c r="I71" s="7"/>
      <c r="J71" s="9"/>
      <c r="K71" s="9"/>
      <c r="L71" s="9"/>
      <c r="M71" s="9"/>
      <c r="N71" s="9"/>
      <c r="O71" s="9"/>
      <c r="P71" s="139"/>
      <c r="Q71" s="139"/>
      <c r="R71" s="139"/>
      <c r="S71" s="139"/>
      <c r="T71" s="139"/>
      <c r="U71" s="139"/>
      <c r="V71" s="139"/>
    </row>
    <row r="72" spans="1:22" ht="27" customHeight="1">
      <c r="A72" s="51" t="s">
        <v>76</v>
      </c>
      <c r="B72" s="176" t="s">
        <v>112</v>
      </c>
      <c r="C72" s="177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9"/>
      <c r="P72" s="139"/>
      <c r="Q72" s="139"/>
      <c r="R72" s="139"/>
      <c r="S72" s="139"/>
      <c r="T72" s="139"/>
      <c r="U72" s="139"/>
      <c r="V72" s="139"/>
    </row>
    <row r="73" spans="1:22" ht="27" customHeight="1">
      <c r="A73" s="51" t="s">
        <v>77</v>
      </c>
      <c r="B73" s="176" t="s">
        <v>86</v>
      </c>
      <c r="C73" s="177"/>
      <c r="D73" s="7"/>
      <c r="E73" s="7"/>
      <c r="F73" s="7"/>
      <c r="G73" s="7"/>
      <c r="H73" s="7"/>
      <c r="I73" s="7"/>
      <c r="J73" s="9"/>
      <c r="K73" s="9"/>
      <c r="L73" s="9"/>
      <c r="M73" s="9"/>
      <c r="N73" s="9"/>
      <c r="O73" s="9"/>
      <c r="P73" s="139"/>
      <c r="Q73" s="139"/>
      <c r="R73" s="139"/>
      <c r="S73" s="139"/>
      <c r="T73" s="139"/>
      <c r="U73" s="139"/>
      <c r="V73" s="139"/>
    </row>
    <row r="74" spans="1:22" ht="27" customHeight="1">
      <c r="A74" s="51" t="s">
        <v>78</v>
      </c>
      <c r="B74" s="178" t="s">
        <v>82</v>
      </c>
      <c r="C74" s="178"/>
      <c r="D74" s="71">
        <f>((D12-D70)+(D30-D71)+D13+D18-D72)/D6</f>
        <v>0.02134176734960693</v>
      </c>
      <c r="E74" s="71">
        <f>((E12-E70)+(E30-E71)+E13+E18-E72)/E6</f>
        <v>0.015827410394405952</v>
      </c>
      <c r="F74" s="71">
        <f>((F12-F70)+(F30-F71)+F13+F18-F72)/F6</f>
        <v>0.03420674867396457</v>
      </c>
      <c r="G74" s="71">
        <f>((G12-G70)+(G30-G71)+G13+G18-G72)/G6</f>
        <v>0.03736525061811643</v>
      </c>
      <c r="H74" s="71" t="s">
        <v>46</v>
      </c>
      <c r="I74" s="71" t="s">
        <v>46</v>
      </c>
      <c r="J74" s="71" t="s">
        <v>46</v>
      </c>
      <c r="K74" s="71" t="s">
        <v>46</v>
      </c>
      <c r="L74" s="71" t="s">
        <v>46</v>
      </c>
      <c r="M74" s="152" t="s">
        <v>46</v>
      </c>
      <c r="N74" s="152" t="s">
        <v>46</v>
      </c>
      <c r="O74" s="152" t="s">
        <v>46</v>
      </c>
      <c r="P74" s="139"/>
      <c r="Q74" s="139"/>
      <c r="R74" s="139"/>
      <c r="S74" s="139"/>
      <c r="T74" s="139"/>
      <c r="U74" s="139"/>
      <c r="V74" s="139"/>
    </row>
    <row r="75" spans="1:22" ht="27" customHeight="1">
      <c r="A75" s="51" t="s">
        <v>79</v>
      </c>
      <c r="B75" s="178" t="s">
        <v>83</v>
      </c>
      <c r="C75" s="178"/>
      <c r="D75" s="71">
        <f>(D47-D73)/D6</f>
        <v>0.14058351569178176</v>
      </c>
      <c r="E75" s="71">
        <f>(E47-E73)/E6</f>
        <v>0.16603543303703577</v>
      </c>
      <c r="F75" s="71">
        <f>(F47-F73)/F6</f>
        <v>0.22553978106308542</v>
      </c>
      <c r="G75" s="71">
        <f>(G47-G73)/G6</f>
        <v>0.19348527759046977</v>
      </c>
      <c r="H75" s="71" t="s">
        <v>46</v>
      </c>
      <c r="I75" s="71" t="s">
        <v>46</v>
      </c>
      <c r="J75" s="71" t="s">
        <v>46</v>
      </c>
      <c r="K75" s="71" t="s">
        <v>46</v>
      </c>
      <c r="L75" s="71" t="s">
        <v>46</v>
      </c>
      <c r="M75" s="152" t="s">
        <v>46</v>
      </c>
      <c r="N75" s="152" t="s">
        <v>46</v>
      </c>
      <c r="O75" s="152" t="s">
        <v>46</v>
      </c>
      <c r="P75" s="139"/>
      <c r="Q75" s="139"/>
      <c r="R75" s="139"/>
      <c r="S75" s="139"/>
      <c r="T75" s="139"/>
      <c r="U75" s="139"/>
      <c r="V75" s="139"/>
    </row>
    <row r="76" spans="1:22" ht="27" customHeight="1">
      <c r="A76" s="51" t="s">
        <v>85</v>
      </c>
      <c r="B76" s="178" t="s">
        <v>84</v>
      </c>
      <c r="C76" s="178"/>
      <c r="D76" s="143">
        <f>(D30-D71+D12+D13+D18-D72)/D6</f>
        <v>0.02182151071377273</v>
      </c>
      <c r="E76" s="143">
        <f aca="true" t="shared" si="28" ref="E76:L76">(E30-E71+E12+E13+E18-E72)/E6</f>
        <v>0.01656817900999534</v>
      </c>
      <c r="F76" s="143">
        <f t="shared" si="28"/>
        <v>0.03420674867396457</v>
      </c>
      <c r="G76" s="143">
        <f t="shared" si="28"/>
        <v>0.03736525061811643</v>
      </c>
      <c r="H76" s="143">
        <f t="shared" si="28"/>
        <v>0.03889606053861563</v>
      </c>
      <c r="I76" s="143">
        <f t="shared" si="28"/>
        <v>0.03808</v>
      </c>
      <c r="J76" s="143">
        <f t="shared" si="28"/>
        <v>0.03406001091107474</v>
      </c>
      <c r="K76" s="143">
        <f t="shared" si="28"/>
        <v>0.03290522243713733</v>
      </c>
      <c r="L76" s="143">
        <f t="shared" si="28"/>
        <v>0.027905937433496487</v>
      </c>
      <c r="M76" s="153">
        <f>(M30-M71+M12+M13+M18-M72)/M6</f>
        <v>0.015160593220338983</v>
      </c>
      <c r="N76" s="153">
        <f>(N30-N71+N12+N13+N18-N72)/N6</f>
        <v>0.014283016888702402</v>
      </c>
      <c r="O76" s="153">
        <f>(O30-O71+O12+O13+O18-O72)/O6</f>
        <v>0.013316713410200479</v>
      </c>
      <c r="P76" s="139"/>
      <c r="Q76" s="139"/>
      <c r="R76" s="139"/>
      <c r="S76" s="139"/>
      <c r="T76" s="139"/>
      <c r="U76" s="139"/>
      <c r="V76" s="139"/>
    </row>
    <row r="77" spans="1:22" ht="51" customHeight="1">
      <c r="A77" s="50" t="s">
        <v>110</v>
      </c>
      <c r="B77" s="181" t="s">
        <v>96</v>
      </c>
      <c r="C77" s="181"/>
      <c r="D77" s="144">
        <f>D65-D76</f>
        <v>0.20705865336387363</v>
      </c>
      <c r="E77" s="144">
        <f>E65-E76</f>
        <v>0.19172158612048645</v>
      </c>
      <c r="F77" s="144">
        <f>F65-F76</f>
        <v>0.12474206859829395</v>
      </c>
      <c r="G77" s="144">
        <f>G65-G76</f>
        <v>0.11133657249654944</v>
      </c>
      <c r="H77" s="144">
        <f aca="true" t="shared" si="29" ref="H77:O77">H53-H76</f>
        <v>0.12823599638828506</v>
      </c>
      <c r="I77" s="144">
        <f t="shared" si="29"/>
        <v>0.1748535811950422</v>
      </c>
      <c r="J77" s="144">
        <f t="shared" si="29"/>
        <v>0.19532528583075173</v>
      </c>
      <c r="K77" s="144">
        <f t="shared" si="29"/>
        <v>0.2120771684125248</v>
      </c>
      <c r="L77" s="144">
        <f t="shared" si="29"/>
        <v>0.21317306361703264</v>
      </c>
      <c r="M77" s="154">
        <f t="shared" si="29"/>
        <v>0.2207423717120781</v>
      </c>
      <c r="N77" s="154">
        <f t="shared" si="29"/>
        <v>0.21401703487922563</v>
      </c>
      <c r="O77" s="154">
        <f t="shared" si="29"/>
        <v>0.20788701930368048</v>
      </c>
      <c r="P77" s="139"/>
      <c r="Q77" s="139"/>
      <c r="R77" s="139"/>
      <c r="S77" s="139"/>
      <c r="T77" s="139"/>
      <c r="U77" s="139"/>
      <c r="V77" s="139"/>
    </row>
    <row r="78" spans="1:22" ht="54" customHeight="1" thickBot="1">
      <c r="A78" s="52" t="s">
        <v>111</v>
      </c>
      <c r="B78" s="186" t="s">
        <v>109</v>
      </c>
      <c r="C78" s="187"/>
      <c r="D78" s="10" t="s">
        <v>46</v>
      </c>
      <c r="E78" s="10" t="s">
        <v>46</v>
      </c>
      <c r="F78" s="10" t="s">
        <v>46</v>
      </c>
      <c r="G78" s="10" t="s">
        <v>46</v>
      </c>
      <c r="H78" s="11"/>
      <c r="I78" s="11"/>
      <c r="J78" s="11"/>
      <c r="K78" s="11"/>
      <c r="L78" s="11"/>
      <c r="M78" s="11"/>
      <c r="N78" s="11"/>
      <c r="O78" s="11"/>
      <c r="P78" s="139"/>
      <c r="Q78" s="139"/>
      <c r="R78" s="139"/>
      <c r="S78" s="139"/>
      <c r="T78" s="139"/>
      <c r="U78" s="139"/>
      <c r="V78" s="139"/>
    </row>
    <row r="79" spans="1:22" ht="12.75">
      <c r="A79" s="20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138"/>
      <c r="N79" s="139"/>
      <c r="O79" s="139"/>
      <c r="P79" s="139"/>
      <c r="Q79" s="139"/>
      <c r="R79" s="139"/>
      <c r="S79" s="139"/>
      <c r="T79" s="139"/>
      <c r="U79" s="139"/>
      <c r="V79" s="139"/>
    </row>
    <row r="80" spans="1:22" ht="12.75">
      <c r="A80" s="20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138"/>
      <c r="N80" s="139"/>
      <c r="O80" s="139"/>
      <c r="P80" s="139"/>
      <c r="Q80" s="139"/>
      <c r="R80" s="139"/>
      <c r="S80" s="139"/>
      <c r="T80" s="139"/>
      <c r="U80" s="139"/>
      <c r="V80" s="139"/>
    </row>
    <row r="81" spans="1:22" ht="12.75">
      <c r="A81" s="20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138"/>
      <c r="N81" s="139"/>
      <c r="O81" s="139"/>
      <c r="P81" s="139"/>
      <c r="Q81" s="139"/>
      <c r="R81" s="139"/>
      <c r="S81" s="139"/>
      <c r="T81" s="139"/>
      <c r="U81" s="139"/>
      <c r="V81" s="139"/>
    </row>
    <row r="82" spans="1:22" ht="12.75">
      <c r="A82" s="20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138"/>
      <c r="N82" s="139"/>
      <c r="O82" s="139"/>
      <c r="P82" s="139"/>
      <c r="Q82" s="139"/>
      <c r="R82" s="139"/>
      <c r="S82" s="139"/>
      <c r="T82" s="139"/>
      <c r="U82" s="139"/>
      <c r="V82" s="139"/>
    </row>
    <row r="83" spans="1:22" ht="12.75">
      <c r="A83" s="18"/>
      <c r="B83" s="16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40"/>
      <c r="N83" s="139"/>
      <c r="O83" s="139"/>
      <c r="P83" s="139"/>
      <c r="Q83" s="139"/>
      <c r="R83" s="139"/>
      <c r="S83" s="139"/>
      <c r="T83" s="139"/>
      <c r="U83" s="139"/>
      <c r="V83" s="139"/>
    </row>
    <row r="84" spans="13:22" ht="12.75">
      <c r="M84" s="139"/>
      <c r="N84" s="139"/>
      <c r="O84" s="139"/>
      <c r="P84" s="139"/>
      <c r="Q84" s="139"/>
      <c r="R84" s="139"/>
      <c r="S84" s="139"/>
      <c r="T84" s="139"/>
      <c r="U84" s="139"/>
      <c r="V84" s="139"/>
    </row>
    <row r="85" spans="13:22" ht="12.75"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13:22" ht="12.75">
      <c r="M86" s="139"/>
      <c r="N86" s="139"/>
      <c r="O86" s="139"/>
      <c r="P86" s="139"/>
      <c r="Q86" s="139"/>
      <c r="R86" s="139"/>
      <c r="S86" s="139"/>
      <c r="T86" s="139"/>
      <c r="U86" s="139"/>
      <c r="V86" s="139"/>
    </row>
    <row r="87" spans="13:22" ht="12.75">
      <c r="M87" s="139"/>
      <c r="N87" s="139"/>
      <c r="O87" s="139"/>
      <c r="P87" s="139"/>
      <c r="Q87" s="139"/>
      <c r="R87" s="139"/>
      <c r="S87" s="139"/>
      <c r="T87" s="139"/>
      <c r="U87" s="139"/>
      <c r="V87" s="139"/>
    </row>
    <row r="88" spans="13:22" ht="12.75">
      <c r="M88" s="139"/>
      <c r="N88" s="139"/>
      <c r="O88" s="139"/>
      <c r="P88" s="139"/>
      <c r="Q88" s="139"/>
      <c r="R88" s="139"/>
      <c r="S88" s="139"/>
      <c r="T88" s="139"/>
      <c r="U88" s="139"/>
      <c r="V88" s="139"/>
    </row>
    <row r="89" spans="13:22" ht="12.75">
      <c r="M89" s="139"/>
      <c r="N89" s="139"/>
      <c r="O89" s="139"/>
      <c r="P89" s="139"/>
      <c r="Q89" s="139"/>
      <c r="R89" s="139"/>
      <c r="S89" s="139"/>
      <c r="T89" s="139"/>
      <c r="U89" s="139"/>
      <c r="V89" s="139"/>
    </row>
    <row r="90" spans="13:22" ht="12.75"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13:22" ht="12.75">
      <c r="M91" s="139"/>
      <c r="N91" s="139"/>
      <c r="O91" s="139"/>
      <c r="P91" s="139"/>
      <c r="Q91" s="139"/>
      <c r="R91" s="139"/>
      <c r="S91" s="139"/>
      <c r="T91" s="139"/>
      <c r="U91" s="139"/>
      <c r="V91" s="139"/>
    </row>
    <row r="92" spans="13:22" ht="12.75">
      <c r="M92" s="139"/>
      <c r="N92" s="139"/>
      <c r="O92" s="139"/>
      <c r="P92" s="139"/>
      <c r="Q92" s="139"/>
      <c r="R92" s="139"/>
      <c r="S92" s="139"/>
      <c r="T92" s="139"/>
      <c r="U92" s="139"/>
      <c r="V92" s="139"/>
    </row>
    <row r="93" spans="13:22" ht="12.75">
      <c r="M93" s="139"/>
      <c r="N93" s="139"/>
      <c r="O93" s="139"/>
      <c r="P93" s="139"/>
      <c r="Q93" s="139"/>
      <c r="R93" s="139"/>
      <c r="S93" s="139"/>
      <c r="T93" s="139"/>
      <c r="U93" s="139"/>
      <c r="V93" s="139"/>
    </row>
    <row r="94" spans="13:22" ht="12.75">
      <c r="M94" s="139"/>
      <c r="N94" s="139"/>
      <c r="O94" s="139"/>
      <c r="P94" s="139"/>
      <c r="Q94" s="139"/>
      <c r="R94" s="139"/>
      <c r="S94" s="139"/>
      <c r="T94" s="139"/>
      <c r="U94" s="139"/>
      <c r="V94" s="139"/>
    </row>
    <row r="95" spans="13:22" ht="12.75">
      <c r="M95" s="139"/>
      <c r="N95" s="139"/>
      <c r="O95" s="139"/>
      <c r="P95" s="139"/>
      <c r="Q95" s="139"/>
      <c r="R95" s="139"/>
      <c r="S95" s="139"/>
      <c r="T95" s="139"/>
      <c r="U95" s="139"/>
      <c r="V95" s="139"/>
    </row>
  </sheetData>
  <sheetProtection/>
  <mergeCells count="32">
    <mergeCell ref="B52:C52"/>
    <mergeCell ref="B54:C54"/>
    <mergeCell ref="B43:C43"/>
    <mergeCell ref="B51:C51"/>
    <mergeCell ref="B53:C53"/>
    <mergeCell ref="B50:C50"/>
    <mergeCell ref="B36:C36"/>
    <mergeCell ref="B12:B18"/>
    <mergeCell ref="B5:C5"/>
    <mergeCell ref="B6:C6"/>
    <mergeCell ref="B10:C10"/>
    <mergeCell ref="B21:C21"/>
    <mergeCell ref="B31:B33"/>
    <mergeCell ref="B29:C29"/>
    <mergeCell ref="B35:C35"/>
    <mergeCell ref="B23:B25"/>
    <mergeCell ref="B78:C78"/>
    <mergeCell ref="B72:C72"/>
    <mergeCell ref="B55:B57"/>
    <mergeCell ref="B77:C77"/>
    <mergeCell ref="B74:C74"/>
    <mergeCell ref="B75:C75"/>
    <mergeCell ref="A55:A57"/>
    <mergeCell ref="B73:C73"/>
    <mergeCell ref="B76:C76"/>
    <mergeCell ref="B67:C67"/>
    <mergeCell ref="B68:C68"/>
    <mergeCell ref="B69:C69"/>
    <mergeCell ref="B65:C65"/>
    <mergeCell ref="B66:C66"/>
    <mergeCell ref="B70:C70"/>
    <mergeCell ref="B71:C71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102</v>
      </c>
    </row>
    <row r="4" spans="2:5" s="2" customFormat="1" ht="30" customHeight="1">
      <c r="B4" s="206" t="s">
        <v>64</v>
      </c>
      <c r="C4" s="206"/>
      <c r="D4" s="5"/>
      <c r="E4" s="6">
        <v>1487430</v>
      </c>
    </row>
    <row r="5" spans="2:5" ht="25.5" customHeight="1">
      <c r="B5" s="1"/>
      <c r="C5" s="1"/>
      <c r="E5" s="4"/>
    </row>
    <row r="7" spans="1:6" ht="12.75" customHeight="1">
      <c r="A7" s="207" t="s">
        <v>60</v>
      </c>
      <c r="B7" s="207"/>
      <c r="C7" s="207"/>
      <c r="D7" s="207"/>
      <c r="E7" s="207"/>
      <c r="F7" s="76"/>
    </row>
    <row r="8" spans="1:6" ht="24" customHeight="1">
      <c r="A8" s="207"/>
      <c r="B8" s="207"/>
      <c r="C8" s="207"/>
      <c r="D8" s="207"/>
      <c r="E8" s="207"/>
      <c r="F8" s="76"/>
    </row>
    <row r="9" spans="1:6" ht="24" customHeight="1">
      <c r="A9" s="76"/>
      <c r="B9" s="77"/>
      <c r="C9" s="77"/>
      <c r="D9" s="76"/>
      <c r="E9" s="86"/>
      <c r="F9" s="76"/>
    </row>
    <row r="10" spans="1:6" ht="13.5" thickBot="1">
      <c r="A10" s="76"/>
      <c r="B10" s="76"/>
      <c r="C10" s="76"/>
      <c r="D10" s="76"/>
      <c r="E10" s="76"/>
      <c r="F10" s="76"/>
    </row>
    <row r="11" spans="1:6" s="3" customFormat="1" ht="30.75" customHeight="1" thickBot="1">
      <c r="A11" s="78" t="s">
        <v>42</v>
      </c>
      <c r="B11" s="79" t="s">
        <v>1</v>
      </c>
      <c r="C11" s="79">
        <v>2007</v>
      </c>
      <c r="D11" s="79">
        <v>2008</v>
      </c>
      <c r="E11" s="87">
        <v>2009</v>
      </c>
      <c r="F11" s="84"/>
    </row>
    <row r="12" spans="1:6" ht="39" customHeight="1">
      <c r="A12" s="80" t="s">
        <v>23</v>
      </c>
      <c r="B12" s="81" t="s">
        <v>39</v>
      </c>
      <c r="C12" s="72">
        <v>7361199.14</v>
      </c>
      <c r="D12" s="72">
        <v>7780094.39</v>
      </c>
      <c r="E12" s="73">
        <v>8141581</v>
      </c>
      <c r="F12" s="76"/>
    </row>
    <row r="13" spans="1:6" ht="39" customHeight="1">
      <c r="A13" s="82" t="s">
        <v>24</v>
      </c>
      <c r="B13" s="83" t="s">
        <v>61</v>
      </c>
      <c r="C13" s="74">
        <v>115930</v>
      </c>
      <c r="D13" s="74">
        <v>114510</v>
      </c>
      <c r="E13" s="75">
        <v>313246</v>
      </c>
      <c r="F13" s="76"/>
    </row>
    <row r="14" spans="1:6" ht="39" customHeight="1">
      <c r="A14" s="82" t="s">
        <v>27</v>
      </c>
      <c r="B14" s="83" t="s">
        <v>40</v>
      </c>
      <c r="C14" s="74">
        <v>5973562</v>
      </c>
      <c r="D14" s="74">
        <v>5783705</v>
      </c>
      <c r="E14" s="75">
        <v>6519871</v>
      </c>
      <c r="F14" s="85"/>
    </row>
    <row r="15" spans="1:6" ht="39" customHeight="1">
      <c r="A15" s="82" t="s">
        <v>28</v>
      </c>
      <c r="B15" s="83" t="s">
        <v>41</v>
      </c>
      <c r="C15" s="74">
        <v>7513869.14</v>
      </c>
      <c r="D15" s="74">
        <v>8146978</v>
      </c>
      <c r="E15" s="75">
        <v>8507815</v>
      </c>
      <c r="F15" s="85"/>
    </row>
    <row r="16" spans="1:6" ht="39" customHeight="1" thickBot="1">
      <c r="A16" s="134" t="s">
        <v>71</v>
      </c>
      <c r="B16" s="135" t="s">
        <v>51</v>
      </c>
      <c r="C16" s="136">
        <f>(C12+C13-C14)/C15</f>
        <v>0.20010557969339346</v>
      </c>
      <c r="D16" s="136">
        <f>(D12+D13-D14)/D15</f>
        <v>0.2591021345583601</v>
      </c>
      <c r="E16" s="137">
        <f>(E12+E13-E14)/E15</f>
        <v>0.22743277798118552</v>
      </c>
      <c r="F16" s="76"/>
    </row>
    <row r="17" spans="1:6" ht="12.75">
      <c r="A17" s="76"/>
      <c r="B17" s="76"/>
      <c r="C17" s="76"/>
      <c r="D17" s="76"/>
      <c r="E17" s="76"/>
      <c r="F17" s="76"/>
    </row>
    <row r="18" spans="1:6" ht="12.75">
      <c r="A18" s="76"/>
      <c r="B18" s="76"/>
      <c r="C18" s="76"/>
      <c r="D18" s="76"/>
      <c r="E18" s="76"/>
      <c r="F18" s="76"/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1">
      <selection activeCell="E3" sqref="E3:E4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10" width="10.125" style="0" customWidth="1"/>
  </cols>
  <sheetData>
    <row r="1" spans="1:10" ht="12.75">
      <c r="A1" s="92"/>
      <c r="B1" s="92"/>
      <c r="C1" s="92"/>
      <c r="D1" s="92"/>
      <c r="E1" s="125" t="s">
        <v>136</v>
      </c>
      <c r="F1" s="125"/>
      <c r="G1" s="125"/>
      <c r="H1" s="125"/>
      <c r="I1" s="125"/>
      <c r="J1" s="125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0" customHeight="1">
      <c r="A3" s="222" t="s">
        <v>42</v>
      </c>
      <c r="B3" s="224" t="s">
        <v>47</v>
      </c>
      <c r="C3" s="217" t="s">
        <v>43</v>
      </c>
      <c r="D3" s="217" t="s">
        <v>44</v>
      </c>
      <c r="E3" s="217" t="s">
        <v>52</v>
      </c>
      <c r="F3" s="219" t="s">
        <v>55</v>
      </c>
      <c r="G3" s="220"/>
      <c r="H3" s="220"/>
      <c r="I3" s="220"/>
      <c r="J3" s="221"/>
    </row>
    <row r="4" spans="1:10" ht="13.5" thickBot="1">
      <c r="A4" s="223"/>
      <c r="B4" s="218"/>
      <c r="C4" s="218"/>
      <c r="D4" s="218"/>
      <c r="E4" s="218"/>
      <c r="F4" s="93">
        <v>2011</v>
      </c>
      <c r="G4" s="93">
        <v>2012</v>
      </c>
      <c r="H4" s="93">
        <v>2013</v>
      </c>
      <c r="I4" s="94">
        <v>2014</v>
      </c>
      <c r="J4" s="95">
        <v>2015</v>
      </c>
    </row>
    <row r="5" spans="1:10" ht="39.75" customHeight="1">
      <c r="A5" s="96" t="s">
        <v>22</v>
      </c>
      <c r="B5" s="97" t="s">
        <v>62</v>
      </c>
      <c r="C5" s="98" t="s">
        <v>63</v>
      </c>
      <c r="D5" s="99" t="s">
        <v>104</v>
      </c>
      <c r="E5" s="100"/>
      <c r="F5" s="100">
        <v>93500</v>
      </c>
      <c r="G5" s="100">
        <v>155000</v>
      </c>
      <c r="H5" s="100"/>
      <c r="I5" s="101"/>
      <c r="J5" s="102"/>
    </row>
    <row r="6" spans="1:10" ht="39.75" customHeight="1">
      <c r="A6" s="103" t="s">
        <v>25</v>
      </c>
      <c r="B6" s="208" t="s">
        <v>53</v>
      </c>
      <c r="C6" s="209"/>
      <c r="D6" s="209"/>
      <c r="E6" s="209"/>
      <c r="F6" s="209"/>
      <c r="G6" s="209"/>
      <c r="H6" s="209"/>
      <c r="I6" s="209"/>
      <c r="J6" s="210"/>
    </row>
    <row r="7" spans="1:10" ht="39.75" customHeight="1">
      <c r="A7" s="96">
        <v>1</v>
      </c>
      <c r="B7" s="104" t="s">
        <v>133</v>
      </c>
      <c r="C7" s="105" t="s">
        <v>63</v>
      </c>
      <c r="D7" s="105" t="s">
        <v>132</v>
      </c>
      <c r="E7" s="106">
        <v>41720</v>
      </c>
      <c r="F7" s="107">
        <v>1760</v>
      </c>
      <c r="G7" s="107">
        <v>30720</v>
      </c>
      <c r="H7" s="107">
        <v>9240</v>
      </c>
      <c r="I7" s="108"/>
      <c r="J7" s="109"/>
    </row>
    <row r="8" spans="1:10" ht="39.75" customHeight="1">
      <c r="A8" s="96">
        <v>2</v>
      </c>
      <c r="B8" s="104"/>
      <c r="C8" s="105"/>
      <c r="D8" s="105"/>
      <c r="E8" s="106"/>
      <c r="F8" s="107"/>
      <c r="G8" s="107"/>
      <c r="H8" s="107"/>
      <c r="I8" s="108"/>
      <c r="J8" s="109"/>
    </row>
    <row r="9" spans="1:10" ht="39.75" customHeight="1">
      <c r="A9" s="96">
        <v>3</v>
      </c>
      <c r="B9" s="104"/>
      <c r="C9" s="105"/>
      <c r="D9" s="105"/>
      <c r="E9" s="106"/>
      <c r="F9" s="107"/>
      <c r="G9" s="107"/>
      <c r="H9" s="107"/>
      <c r="I9" s="108"/>
      <c r="J9" s="109"/>
    </row>
    <row r="10" spans="1:10" ht="19.5" customHeight="1">
      <c r="A10" s="213" t="s">
        <v>45</v>
      </c>
      <c r="B10" s="214"/>
      <c r="C10" s="110" t="s">
        <v>56</v>
      </c>
      <c r="D10" s="110" t="s">
        <v>56</v>
      </c>
      <c r="E10" s="111">
        <f aca="true" t="shared" si="0" ref="E10:J10">SUM(E7:E9)</f>
        <v>41720</v>
      </c>
      <c r="F10" s="111">
        <v>1760</v>
      </c>
      <c r="G10" s="111">
        <f t="shared" si="0"/>
        <v>30720</v>
      </c>
      <c r="H10" s="111">
        <f t="shared" si="0"/>
        <v>9240</v>
      </c>
      <c r="I10" s="112">
        <f t="shared" si="0"/>
        <v>0</v>
      </c>
      <c r="J10" s="113">
        <f t="shared" si="0"/>
        <v>0</v>
      </c>
    </row>
    <row r="11" spans="1:10" ht="39.75" customHeight="1">
      <c r="A11" s="103" t="s">
        <v>26</v>
      </c>
      <c r="B11" s="208" t="s">
        <v>54</v>
      </c>
      <c r="C11" s="209"/>
      <c r="D11" s="209"/>
      <c r="E11" s="209"/>
      <c r="F11" s="209"/>
      <c r="G11" s="209"/>
      <c r="H11" s="209"/>
      <c r="I11" s="209"/>
      <c r="J11" s="210"/>
    </row>
    <row r="12" spans="1:10" ht="39.75" customHeight="1">
      <c r="A12" s="96">
        <v>1</v>
      </c>
      <c r="B12" s="114" t="s">
        <v>123</v>
      </c>
      <c r="C12" s="105" t="s">
        <v>63</v>
      </c>
      <c r="D12" s="105" t="s">
        <v>120</v>
      </c>
      <c r="E12" s="106">
        <v>3632841</v>
      </c>
      <c r="F12" s="107">
        <v>3632840.9</v>
      </c>
      <c r="G12" s="107"/>
      <c r="H12" s="107"/>
      <c r="I12" s="108"/>
      <c r="J12" s="109"/>
    </row>
    <row r="13" spans="1:10" ht="39.75" customHeight="1">
      <c r="A13" s="96">
        <v>2</v>
      </c>
      <c r="B13" s="114" t="s">
        <v>124</v>
      </c>
      <c r="C13" s="105" t="s">
        <v>63</v>
      </c>
      <c r="D13" s="105" t="s">
        <v>121</v>
      </c>
      <c r="E13" s="106">
        <f>SUM(F13:J13)</f>
        <v>1010000</v>
      </c>
      <c r="F13" s="107">
        <v>177000</v>
      </c>
      <c r="G13" s="107">
        <v>750000</v>
      </c>
      <c r="H13" s="107">
        <v>73000</v>
      </c>
      <c r="I13" s="107">
        <v>10000</v>
      </c>
      <c r="J13" s="115"/>
    </row>
    <row r="14" spans="1:10" ht="39.75" customHeight="1">
      <c r="A14" s="96">
        <v>3</v>
      </c>
      <c r="B14" s="114" t="s">
        <v>125</v>
      </c>
      <c r="C14" s="105" t="s">
        <v>63</v>
      </c>
      <c r="D14" s="105">
        <v>2011</v>
      </c>
      <c r="E14" s="106">
        <f>SUM(F14:J14)</f>
        <v>410424.14</v>
      </c>
      <c r="F14" s="107">
        <v>410424.14</v>
      </c>
      <c r="G14" s="107"/>
      <c r="H14" s="107"/>
      <c r="I14" s="107"/>
      <c r="J14" s="115"/>
    </row>
    <row r="15" spans="1:10" ht="19.5" customHeight="1">
      <c r="A15" s="213" t="s">
        <v>45</v>
      </c>
      <c r="B15" s="214"/>
      <c r="C15" s="110" t="s">
        <v>56</v>
      </c>
      <c r="D15" s="110" t="s">
        <v>56</v>
      </c>
      <c r="E15" s="111">
        <f aca="true" t="shared" si="1" ref="E15:J15">SUM(E12:E14)</f>
        <v>5053265.14</v>
      </c>
      <c r="F15" s="116">
        <f t="shared" si="1"/>
        <v>4220265.04</v>
      </c>
      <c r="G15" s="116">
        <f t="shared" si="1"/>
        <v>750000</v>
      </c>
      <c r="H15" s="116">
        <f t="shared" si="1"/>
        <v>73000</v>
      </c>
      <c r="I15" s="117">
        <f t="shared" si="1"/>
        <v>10000</v>
      </c>
      <c r="J15" s="118">
        <f t="shared" si="1"/>
        <v>0</v>
      </c>
    </row>
    <row r="16" spans="1:10" ht="39.75" customHeight="1">
      <c r="A16" s="103" t="s">
        <v>29</v>
      </c>
      <c r="B16" s="208" t="s">
        <v>103</v>
      </c>
      <c r="C16" s="209"/>
      <c r="D16" s="209"/>
      <c r="E16" s="209"/>
      <c r="F16" s="209"/>
      <c r="G16" s="209"/>
      <c r="H16" s="209"/>
      <c r="I16" s="209"/>
      <c r="J16" s="210"/>
    </row>
    <row r="17" spans="1:10" ht="39.75" customHeight="1">
      <c r="A17" s="96">
        <v>1</v>
      </c>
      <c r="B17" s="119"/>
      <c r="C17" s="98"/>
      <c r="D17" s="98"/>
      <c r="E17" s="100">
        <f>SUM(F17:J17)</f>
        <v>0</v>
      </c>
      <c r="F17" s="120"/>
      <c r="G17" s="120"/>
      <c r="H17" s="120"/>
      <c r="I17" s="121"/>
      <c r="J17" s="109"/>
    </row>
    <row r="18" spans="1:10" ht="19.5" customHeight="1" thickBot="1">
      <c r="A18" s="215" t="s">
        <v>45</v>
      </c>
      <c r="B18" s="216"/>
      <c r="C18" s="110" t="s">
        <v>56</v>
      </c>
      <c r="D18" s="110" t="s">
        <v>56</v>
      </c>
      <c r="E18" s="111">
        <f aca="true" t="shared" si="2" ref="E18:J18">SUM(E17:E17)</f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2">
        <f t="shared" si="2"/>
        <v>0</v>
      </c>
      <c r="J18" s="113">
        <f t="shared" si="2"/>
        <v>0</v>
      </c>
    </row>
    <row r="19" spans="1:10" ht="39" customHeight="1" thickBot="1" thickTop="1">
      <c r="A19" s="211" t="s">
        <v>70</v>
      </c>
      <c r="B19" s="212"/>
      <c r="C19" s="122" t="s">
        <v>56</v>
      </c>
      <c r="D19" s="122" t="s">
        <v>56</v>
      </c>
      <c r="E19" s="123"/>
      <c r="F19" s="123">
        <f>F5+F10+F15+F18</f>
        <v>4315525.04</v>
      </c>
      <c r="G19" s="123">
        <f>G5+G10+G15+G18</f>
        <v>935720</v>
      </c>
      <c r="H19" s="123">
        <f>H5+H10+H15+H18</f>
        <v>82240</v>
      </c>
      <c r="I19" s="123">
        <f>I5+I10+I15+I18</f>
        <v>10000</v>
      </c>
      <c r="J19" s="124">
        <f>J5+J10+J15+J18</f>
        <v>0</v>
      </c>
    </row>
    <row r="20" spans="1:10" ht="13.5" thickTop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13">
    <mergeCell ref="D3:D4"/>
    <mergeCell ref="E3:E4"/>
    <mergeCell ref="F3:J3"/>
    <mergeCell ref="A3:A4"/>
    <mergeCell ref="B3:B4"/>
    <mergeCell ref="C3:C4"/>
    <mergeCell ref="B6:J6"/>
    <mergeCell ref="B11:J11"/>
    <mergeCell ref="B16:J16"/>
    <mergeCell ref="A19:B19"/>
    <mergeCell ref="A10:B10"/>
    <mergeCell ref="A15:B15"/>
    <mergeCell ref="A18:B18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C1">
      <selection activeCell="F4" sqref="F4"/>
    </sheetView>
  </sheetViews>
  <sheetFormatPr defaultColWidth="9.00390625" defaultRowHeight="12.75"/>
  <cols>
    <col min="1" max="1" width="9.125" style="12" customWidth="1"/>
    <col min="2" max="2" width="31.75390625" style="12" bestFit="1" customWidth="1"/>
    <col min="3" max="3" width="19.75390625" style="12" customWidth="1"/>
    <col min="4" max="4" width="13.375" style="12" customWidth="1"/>
    <col min="5" max="5" width="14.75390625" style="12" customWidth="1"/>
    <col min="6" max="10" width="15.75390625" style="12" customWidth="1"/>
    <col min="11" max="16384" width="9.125" style="12" customWidth="1"/>
  </cols>
  <sheetData>
    <row r="1" spans="1:10" ht="12.75">
      <c r="A1" s="76"/>
      <c r="B1" s="76"/>
      <c r="C1" s="76"/>
      <c r="D1" s="76"/>
      <c r="E1" s="227" t="s">
        <v>101</v>
      </c>
      <c r="F1" s="227"/>
      <c r="G1" s="227"/>
      <c r="H1" s="227"/>
      <c r="I1" s="227"/>
      <c r="J1" s="227"/>
    </row>
    <row r="2" spans="1:10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3" customFormat="1" ht="90" customHeight="1">
      <c r="A3" s="228" t="s">
        <v>42</v>
      </c>
      <c r="B3" s="230" t="s">
        <v>47</v>
      </c>
      <c r="C3" s="232" t="s">
        <v>43</v>
      </c>
      <c r="D3" s="232" t="s">
        <v>44</v>
      </c>
      <c r="E3" s="232" t="s">
        <v>52</v>
      </c>
      <c r="F3" s="235" t="s">
        <v>55</v>
      </c>
      <c r="G3" s="236"/>
      <c r="H3" s="236"/>
      <c r="I3" s="236"/>
      <c r="J3" s="237"/>
    </row>
    <row r="4" spans="1:10" ht="13.5" thickBot="1">
      <c r="A4" s="229"/>
      <c r="B4" s="231"/>
      <c r="C4" s="233"/>
      <c r="D4" s="233"/>
      <c r="E4" s="234"/>
      <c r="F4" s="88">
        <v>201</v>
      </c>
      <c r="G4" s="88">
        <v>2012</v>
      </c>
      <c r="H4" s="88">
        <v>2013</v>
      </c>
      <c r="I4" s="89">
        <v>2014</v>
      </c>
      <c r="J4" s="90">
        <v>2015</v>
      </c>
    </row>
    <row r="5" spans="1:10" ht="39.75" customHeight="1">
      <c r="A5" s="82" t="s">
        <v>22</v>
      </c>
      <c r="B5" s="238" t="s">
        <v>62</v>
      </c>
      <c r="C5" s="239"/>
      <c r="D5" s="239"/>
      <c r="E5" s="239"/>
      <c r="F5" s="239"/>
      <c r="G5" s="239"/>
      <c r="H5" s="239"/>
      <c r="I5" s="239"/>
      <c r="J5" s="240"/>
    </row>
    <row r="6" spans="1:10" ht="39.75" customHeight="1">
      <c r="A6" s="82">
        <v>1</v>
      </c>
      <c r="B6" s="126" t="s">
        <v>126</v>
      </c>
      <c r="C6" s="91" t="s">
        <v>63</v>
      </c>
      <c r="D6" s="91" t="s">
        <v>119</v>
      </c>
      <c r="E6" s="127">
        <f>SUM(F6:J6)</f>
        <v>25000</v>
      </c>
      <c r="F6" s="61">
        <v>25000</v>
      </c>
      <c r="G6" s="61"/>
      <c r="H6" s="61"/>
      <c r="I6" s="132"/>
      <c r="J6" s="133"/>
    </row>
    <row r="7" spans="1:10" ht="39.75" customHeight="1">
      <c r="A7" s="82">
        <v>2</v>
      </c>
      <c r="B7" s="126" t="s">
        <v>127</v>
      </c>
      <c r="C7" s="91" t="s">
        <v>122</v>
      </c>
      <c r="D7" s="91" t="s">
        <v>119</v>
      </c>
      <c r="E7" s="127">
        <f>SUM(F7:J7)</f>
        <v>12000</v>
      </c>
      <c r="F7" s="61">
        <v>12000</v>
      </c>
      <c r="G7" s="61"/>
      <c r="H7" s="61"/>
      <c r="I7" s="132"/>
      <c r="J7" s="133"/>
    </row>
    <row r="8" spans="1:10" ht="39.75" customHeight="1">
      <c r="A8" s="82">
        <v>3</v>
      </c>
      <c r="B8" s="126" t="s">
        <v>129</v>
      </c>
      <c r="C8" s="91" t="s">
        <v>63</v>
      </c>
      <c r="D8" s="91" t="s">
        <v>130</v>
      </c>
      <c r="E8" s="127">
        <f>SUM(F8:J8)</f>
        <v>100000</v>
      </c>
      <c r="F8" s="61">
        <v>20000</v>
      </c>
      <c r="G8" s="61">
        <v>80000</v>
      </c>
      <c r="H8" s="61"/>
      <c r="I8" s="132"/>
      <c r="J8" s="133"/>
    </row>
    <row r="9" spans="1:10" ht="39.75" customHeight="1">
      <c r="A9" s="82">
        <v>4</v>
      </c>
      <c r="B9" s="126" t="s">
        <v>126</v>
      </c>
      <c r="C9" s="91" t="s">
        <v>63</v>
      </c>
      <c r="D9" s="91" t="s">
        <v>130</v>
      </c>
      <c r="E9" s="127">
        <f>SUM(F9:J9)</f>
        <v>67500</v>
      </c>
      <c r="F9" s="61">
        <v>17500</v>
      </c>
      <c r="G9" s="61">
        <v>50000</v>
      </c>
      <c r="H9" s="61"/>
      <c r="I9" s="132"/>
      <c r="J9" s="133"/>
    </row>
    <row r="10" spans="1:10" ht="39.75" customHeight="1">
      <c r="A10" s="82">
        <v>5</v>
      </c>
      <c r="B10" s="126" t="s">
        <v>127</v>
      </c>
      <c r="C10" s="91" t="s">
        <v>122</v>
      </c>
      <c r="D10" s="91" t="s">
        <v>131</v>
      </c>
      <c r="E10" s="127">
        <f>SUM(F10:J10)</f>
        <v>44000</v>
      </c>
      <c r="F10" s="61">
        <v>19000</v>
      </c>
      <c r="G10" s="61">
        <v>25000</v>
      </c>
      <c r="H10" s="61"/>
      <c r="I10" s="132"/>
      <c r="J10" s="133"/>
    </row>
    <row r="11" spans="1:10" ht="39.75" customHeight="1">
      <c r="A11" s="167"/>
      <c r="B11" s="168"/>
      <c r="C11" s="169"/>
      <c r="D11" s="169"/>
      <c r="E11" s="170"/>
      <c r="F11" s="171"/>
      <c r="G11" s="171"/>
      <c r="H11" s="171"/>
      <c r="I11" s="172"/>
      <c r="J11" s="173"/>
    </row>
    <row r="12" spans="1:10" s="14" customFormat="1" ht="19.5" customHeight="1" thickBot="1">
      <c r="A12" s="225" t="s">
        <v>45</v>
      </c>
      <c r="B12" s="226"/>
      <c r="C12" s="129" t="s">
        <v>56</v>
      </c>
      <c r="D12" s="129" t="s">
        <v>56</v>
      </c>
      <c r="E12" s="128">
        <f>SUM(E6:E11)</f>
        <v>248500</v>
      </c>
      <c r="F12" s="128">
        <f>SUM(F6:F11)</f>
        <v>93500</v>
      </c>
      <c r="G12" s="128">
        <f>SUM(G6:G11)</f>
        <v>155000</v>
      </c>
      <c r="H12" s="128"/>
      <c r="I12" s="130">
        <f>SUM(I6:I10)</f>
        <v>0</v>
      </c>
      <c r="J12" s="131">
        <f>SUM(J6:J10)</f>
        <v>0</v>
      </c>
    </row>
  </sheetData>
  <sheetProtection/>
  <mergeCells count="9">
    <mergeCell ref="A12:B12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Sekretarz</cp:lastModifiedBy>
  <cp:lastPrinted>2011-12-07T13:28:46Z</cp:lastPrinted>
  <dcterms:created xsi:type="dcterms:W3CDTF">2009-10-11T13:25:47Z</dcterms:created>
  <dcterms:modified xsi:type="dcterms:W3CDTF">2011-12-16T09:31:25Z</dcterms:modified>
  <cp:category/>
  <cp:version/>
  <cp:contentType/>
  <cp:contentStatus/>
</cp:coreProperties>
</file>